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24226"/>
  <xr:revisionPtr revIDLastSave="0" documentId="13_ncr:1_{3F655884-47FB-44AE-B42C-63E2D8FD7A47}" xr6:coauthVersionLast="47" xr6:coauthVersionMax="47" xr10:uidLastSave="{00000000-0000-0000-0000-000000000000}"/>
  <bookViews>
    <workbookView xWindow="-60" yWindow="-60" windowWidth="20610" windowHeight="11040" tabRatio="589" firstSheet="8" activeTab="9" xr2:uid="{00000000-000D-0000-FFFF-FFFF00000000}"/>
  </bookViews>
  <sheets>
    <sheet name="SALARIES 2017" sheetId="20" state="hidden" r:id="rId1"/>
    <sheet name="Contracted Services" sheetId="19" state="hidden" r:id="rId2"/>
    <sheet name="REVENUE" sheetId="17" state="hidden" r:id="rId3"/>
    <sheet name="Sheet4" sheetId="16" state="hidden" r:id="rId4"/>
    <sheet name="Chart2" sheetId="23" state="hidden" r:id="rId5"/>
    <sheet name="Chart Wkg" sheetId="22" state="hidden" r:id="rId6"/>
    <sheet name="Budgeted Inputs" sheetId="18" state="hidden" r:id="rId7"/>
    <sheet name="Analysis Sheet" sheetId="15" state="hidden" r:id="rId8"/>
    <sheet name="Departmental Summary (3)" sheetId="28" r:id="rId9"/>
    <sheet name="Speaker" sheetId="1" r:id="rId10"/>
    <sheet name="Chief Whip" sheetId="2" r:id="rId11"/>
    <sheet name="MAYCO &amp; COUNCIL" sheetId="3" r:id="rId12"/>
    <sheet name="Executive Mayor" sheetId="4" r:id="rId13"/>
    <sheet name="Office of the MM" sheetId="5" r:id="rId14"/>
    <sheet name="IDP" sheetId="6" r:id="rId15"/>
    <sheet name="Finance" sheetId="8" r:id="rId16"/>
    <sheet name="LED" sheetId="7" r:id="rId17"/>
    <sheet name="Community Services" sheetId="10" r:id="rId18"/>
    <sheet name="Corporate Services" sheetId="9" r:id="rId19"/>
    <sheet name="Agriculture" sheetId="12" r:id="rId20"/>
    <sheet name="Infrastructure" sheetId="11" r:id="rId21"/>
    <sheet name="Sheet5" sheetId="26" r:id="rId22"/>
  </sheets>
  <externalReferences>
    <externalReference r:id="rId23"/>
    <externalReference r:id="rId24"/>
  </externalReferences>
  <definedNames>
    <definedName name="_xlnm._FilterDatabase" localSheetId="19" hidden="1">Agriculture!$A$36:$B$54</definedName>
    <definedName name="_xlnm._FilterDatabase" localSheetId="10" hidden="1">'Chief Whip'!$A$31:$B$40</definedName>
    <definedName name="_xlnm._FilterDatabase" localSheetId="17" hidden="1">'Community Services'!$A$40:$B$110</definedName>
    <definedName name="_xlnm._FilterDatabase" localSheetId="18" hidden="1">'Corporate Services'!$A$41:$B$76</definedName>
    <definedName name="_xlnm._FilterDatabase" localSheetId="8" hidden="1">'Departmental Summary (3)'!$A$9:$J$311</definedName>
    <definedName name="_xlnm._FilterDatabase" localSheetId="15" hidden="1">Finance!$A$41:$B$56</definedName>
    <definedName name="_xlnm._FilterDatabase" localSheetId="20" hidden="1">Infrastructure!$A$34:$B$90</definedName>
    <definedName name="_xlnm._FilterDatabase" localSheetId="16" hidden="1">LED!$A$28:$B$53</definedName>
    <definedName name="_xlnm._FilterDatabase" localSheetId="11" hidden="1">'MAYCO &amp; COUNCIL'!$A$31:$B$44</definedName>
    <definedName name="_xlnm._FilterDatabase" localSheetId="13" hidden="1">'Office of the MM'!$A$37:$B$65</definedName>
    <definedName name="_xlnm._FilterDatabase" localSheetId="2" hidden="1">REVENUE!$A$9:$B$37</definedName>
    <definedName name="_xlnm._FilterDatabase" localSheetId="9" hidden="1">Speaker!$A$40:$B$61</definedName>
    <definedName name="_xlnm.Print_Area" localSheetId="19">Agriculture!$B$1:$R$56</definedName>
    <definedName name="_xlnm.Print_Area" localSheetId="10">'Chief Whip'!$A$1:$N$42</definedName>
    <definedName name="_xlnm.Print_Area" localSheetId="17">'Community Services'!$B$1:$N$171</definedName>
    <definedName name="_xlnm.Print_Area" localSheetId="8">'Departmental Summary (3)'!$A$3:$K$313</definedName>
    <definedName name="_xlnm.Print_Area" localSheetId="14">IDP!$B$1:$AB$51</definedName>
    <definedName name="_xlnm.Print_Area" localSheetId="20">Infrastructure!$A$1:$P$94</definedName>
    <definedName name="_xlnm.Print_Area" localSheetId="16">LED!$B$1:$P$65</definedName>
    <definedName name="_xlnm.Print_Area" localSheetId="13">'Office of the MM'!$A$1:$P$79</definedName>
    <definedName name="_xlnm.Print_Area" localSheetId="2">REVENUE!$A$1:$B$37</definedName>
    <definedName name="_xlnm.Print_Area" localSheetId="9">Speaker!$A$5:$O$68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0" i="28" l="1"/>
  <c r="K260" i="28"/>
  <c r="I260" i="28"/>
  <c r="H289" i="28"/>
  <c r="G289" i="28"/>
  <c r="G285" i="28"/>
  <c r="M86" i="11"/>
  <c r="M87" i="11"/>
  <c r="M88" i="11"/>
  <c r="M85" i="11"/>
  <c r="G307" i="28"/>
  <c r="H300" i="28"/>
  <c r="G278" i="28"/>
  <c r="H264" i="28"/>
  <c r="H268" i="28"/>
  <c r="H270" i="28"/>
  <c r="H271" i="28"/>
  <c r="G267" i="28"/>
  <c r="G266" i="28"/>
  <c r="G262" i="28"/>
  <c r="G209" i="28"/>
  <c r="G160" i="28"/>
  <c r="H160" i="28" s="1"/>
  <c r="G246" i="28"/>
  <c r="H246" i="28" s="1"/>
  <c r="F237" i="28"/>
  <c r="H237" i="28" s="1"/>
  <c r="G130" i="28"/>
  <c r="G165" i="28"/>
  <c r="H165" i="28" s="1"/>
  <c r="G144" i="28"/>
  <c r="G247" i="28"/>
  <c r="H247" i="28" s="1"/>
  <c r="G245" i="28"/>
  <c r="H245" i="28" s="1"/>
  <c r="G244" i="28"/>
  <c r="H244" i="28" s="1"/>
  <c r="G240" i="28"/>
  <c r="G241" i="28"/>
  <c r="H241" i="28" s="1"/>
  <c r="H243" i="28"/>
  <c r="H248" i="28"/>
  <c r="G239" i="28"/>
  <c r="G107" i="28"/>
  <c r="H90" i="28"/>
  <c r="H91" i="28"/>
  <c r="H92" i="28"/>
  <c r="H112" i="28"/>
  <c r="H114" i="28"/>
  <c r="H116" i="28"/>
  <c r="H127" i="28"/>
  <c r="H132" i="28"/>
  <c r="H179" i="28"/>
  <c r="H180" i="28"/>
  <c r="H190" i="28"/>
  <c r="H191" i="28"/>
  <c r="H193" i="28"/>
  <c r="H194" i="28"/>
  <c r="H195" i="28"/>
  <c r="H197" i="28"/>
  <c r="H198" i="28"/>
  <c r="H199" i="28"/>
  <c r="H200" i="28"/>
  <c r="H223" i="28"/>
  <c r="H238" i="28"/>
  <c r="H239" i="28"/>
  <c r="H242" i="28"/>
  <c r="H249" i="28"/>
  <c r="G67" i="28"/>
  <c r="H46" i="28"/>
  <c r="H48" i="28"/>
  <c r="H18" i="28"/>
  <c r="H28" i="28"/>
  <c r="H29" i="28"/>
  <c r="G54" i="28"/>
  <c r="G37" i="28"/>
  <c r="G36" i="28"/>
  <c r="G35" i="28"/>
  <c r="G34" i="28"/>
  <c r="G22" i="28"/>
  <c r="G21" i="28"/>
  <c r="G20" i="28"/>
  <c r="G17" i="28"/>
  <c r="G16" i="28"/>
  <c r="G15" i="28"/>
  <c r="M75" i="11"/>
  <c r="M76" i="11"/>
  <c r="M77" i="11"/>
  <c r="M78" i="11"/>
  <c r="M74" i="11"/>
  <c r="H79" i="11"/>
  <c r="I79" i="11"/>
  <c r="J79" i="11"/>
  <c r="K79" i="11"/>
  <c r="L79" i="11"/>
  <c r="N79" i="11"/>
  <c r="O79" i="11"/>
  <c r="P79" i="11"/>
  <c r="G79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L67" i="11"/>
  <c r="L32" i="11"/>
  <c r="M32" i="11"/>
  <c r="L24" i="11"/>
  <c r="L18" i="11"/>
  <c r="L26" i="11" s="1"/>
  <c r="G291" i="28" l="1"/>
  <c r="G309" i="28" s="1"/>
  <c r="G40" i="28"/>
  <c r="G31" i="28"/>
  <c r="G42" i="28" s="1"/>
  <c r="G56" i="28" s="1"/>
  <c r="M79" i="11"/>
  <c r="G260" i="28"/>
  <c r="H240" i="28"/>
  <c r="G250" i="28"/>
  <c r="G254" i="28" l="1"/>
  <c r="G272" i="28"/>
  <c r="G311" i="28" s="1"/>
  <c r="J299" i="28" l="1"/>
  <c r="K299" i="28"/>
  <c r="I299" i="28"/>
  <c r="P29" i="1"/>
  <c r="O29" i="1"/>
  <c r="O94" i="11"/>
  <c r="P94" i="11"/>
  <c r="N94" i="11"/>
  <c r="L49" i="9"/>
  <c r="B5" i="15"/>
  <c r="J243" i="28"/>
  <c r="K243" i="28"/>
  <c r="I243" i="28"/>
  <c r="J191" i="28"/>
  <c r="K191" i="28"/>
  <c r="I191" i="28"/>
  <c r="I242" i="28"/>
  <c r="J242" i="28"/>
  <c r="K242" i="28"/>
  <c r="L45" i="4"/>
  <c r="F144" i="28"/>
  <c r="H144" i="28" s="1"/>
  <c r="K249" i="28"/>
  <c r="J249" i="28"/>
  <c r="I249" i="28"/>
  <c r="K248" i="28"/>
  <c r="J248" i="28"/>
  <c r="I248" i="28"/>
  <c r="I57" i="7"/>
  <c r="K68" i="4"/>
  <c r="I68" i="4"/>
  <c r="L79" i="4"/>
  <c r="I62" i="5"/>
  <c r="I66" i="11"/>
  <c r="I65" i="11"/>
  <c r="I64" i="11"/>
  <c r="I63" i="11"/>
  <c r="I61" i="11"/>
  <c r="I60" i="11"/>
  <c r="I59" i="11"/>
  <c r="I58" i="11"/>
  <c r="I57" i="11"/>
  <c r="I56" i="11"/>
  <c r="I55" i="11"/>
  <c r="I54" i="11"/>
  <c r="J271" i="28"/>
  <c r="K271" i="28"/>
  <c r="I271" i="28"/>
  <c r="P38" i="11"/>
  <c r="L10" i="2"/>
  <c r="M10" i="2" s="1"/>
  <c r="M16" i="1"/>
  <c r="L16" i="1"/>
  <c r="M8" i="4"/>
  <c r="N8" i="4" s="1"/>
  <c r="N24" i="9"/>
  <c r="M24" i="9"/>
  <c r="N23" i="9"/>
  <c r="M23" i="9"/>
  <c r="N26" i="10"/>
  <c r="N25" i="10"/>
  <c r="O25" i="10" s="1"/>
  <c r="M27" i="8"/>
  <c r="N27" i="8" s="1"/>
  <c r="M8" i="8"/>
  <c r="N8" i="8" s="1"/>
  <c r="N17" i="10"/>
  <c r="O17" i="10" s="1"/>
  <c r="O9" i="10"/>
  <c r="N9" i="10"/>
  <c r="N8" i="12"/>
  <c r="M8" i="12"/>
  <c r="M11" i="3"/>
  <c r="N11" i="3" s="1"/>
  <c r="M27" i="1"/>
  <c r="L26" i="1"/>
  <c r="M26" i="1" s="1"/>
  <c r="M25" i="1"/>
  <c r="L25" i="1"/>
  <c r="L19" i="1"/>
  <c r="M19" i="1" s="1"/>
  <c r="M14" i="1"/>
  <c r="L14" i="1"/>
  <c r="L11" i="1"/>
  <c r="M11" i="1" s="1"/>
  <c r="I21" i="28"/>
  <c r="I17" i="28"/>
  <c r="F11" i="15" l="1"/>
  <c r="J300" i="28"/>
  <c r="K300" i="28"/>
  <c r="I300" i="28"/>
  <c r="J19" i="28" l="1"/>
  <c r="K19" i="28"/>
  <c r="I19" i="28"/>
  <c r="O19" i="5"/>
  <c r="P19" i="5"/>
  <c r="S19" i="5"/>
  <c r="T19" i="5"/>
  <c r="U19" i="5"/>
  <c r="I301" i="28" l="1"/>
  <c r="M60" i="10" l="1"/>
  <c r="M102" i="10"/>
  <c r="L72" i="9"/>
  <c r="L66" i="9"/>
  <c r="L65" i="9"/>
  <c r="L57" i="9"/>
  <c r="L46" i="9"/>
  <c r="L45" i="9"/>
  <c r="M46" i="10"/>
  <c r="M48" i="10"/>
  <c r="M47" i="10"/>
  <c r="M45" i="10"/>
  <c r="M44" i="10"/>
  <c r="M49" i="10"/>
  <c r="M70" i="10"/>
  <c r="M80" i="10"/>
  <c r="M83" i="10"/>
  <c r="M104" i="10"/>
  <c r="M105" i="10"/>
  <c r="M52" i="10"/>
  <c r="M98" i="10"/>
  <c r="N24" i="11"/>
  <c r="K94" i="11" l="1"/>
  <c r="J94" i="11"/>
  <c r="G94" i="11"/>
  <c r="L70" i="5" l="1"/>
  <c r="L73" i="9"/>
  <c r="L69" i="9"/>
  <c r="M68" i="10"/>
  <c r="M78" i="10"/>
  <c r="M96" i="10"/>
  <c r="L47" i="7"/>
  <c r="L62" i="8"/>
  <c r="I267" i="28" s="1"/>
  <c r="L49" i="8"/>
  <c r="L48" i="8"/>
  <c r="N61" i="11"/>
  <c r="N59" i="11"/>
  <c r="N58" i="11"/>
  <c r="N56" i="11"/>
  <c r="N55" i="11"/>
  <c r="N54" i="11"/>
  <c r="N48" i="11"/>
  <c r="L41" i="12"/>
  <c r="L45" i="6"/>
  <c r="L38" i="3"/>
  <c r="K46" i="1"/>
  <c r="K44" i="1"/>
  <c r="K56" i="1"/>
  <c r="L37" i="3"/>
  <c r="L41" i="3"/>
  <c r="L53" i="5"/>
  <c r="L51" i="5"/>
  <c r="L42" i="12"/>
  <c r="L70" i="9"/>
  <c r="L59" i="9"/>
  <c r="L55" i="9"/>
  <c r="M106" i="10"/>
  <c r="M74" i="10"/>
  <c r="M64" i="10"/>
  <c r="M43" i="10"/>
  <c r="L48" i="7"/>
  <c r="L41" i="7"/>
  <c r="L56" i="8"/>
  <c r="L51" i="8"/>
  <c r="L42" i="6"/>
  <c r="L40" i="6"/>
  <c r="L37" i="6"/>
  <c r="L38" i="6"/>
  <c r="L38" i="12"/>
  <c r="L37" i="12"/>
  <c r="M90" i="10"/>
  <c r="M86" i="10"/>
  <c r="M65" i="10"/>
  <c r="M54" i="10"/>
  <c r="M50" i="10"/>
  <c r="K49" i="1" l="1"/>
  <c r="K47" i="1"/>
  <c r="K48" i="1"/>
  <c r="L80" i="9" l="1"/>
  <c r="L68" i="4"/>
  <c r="I225" i="28"/>
  <c r="L52" i="4"/>
  <c r="L51" i="4"/>
  <c r="L44" i="4"/>
  <c r="L45" i="8"/>
  <c r="L44" i="8"/>
  <c r="L42" i="8"/>
  <c r="M112" i="10"/>
  <c r="I262" i="28" s="1"/>
  <c r="M103" i="10"/>
  <c r="M95" i="10"/>
  <c r="M75" i="10"/>
  <c r="M73" i="10"/>
  <c r="M69" i="10"/>
  <c r="L61" i="5"/>
  <c r="M61" i="10"/>
  <c r="M56" i="10"/>
  <c r="M55" i="10"/>
  <c r="M51" i="10"/>
  <c r="L81" i="9"/>
  <c r="M48" i="8"/>
  <c r="N48" i="8" s="1"/>
  <c r="N80" i="10" l="1"/>
  <c r="O80" i="10" s="1"/>
  <c r="J52" i="10"/>
  <c r="J51" i="10"/>
  <c r="J50" i="10"/>
  <c r="J49" i="10"/>
  <c r="J48" i="10"/>
  <c r="L61" i="9"/>
  <c r="M61" i="9" s="1"/>
  <c r="N61" i="9" s="1"/>
  <c r="M58" i="9"/>
  <c r="M93" i="9"/>
  <c r="N93" i="9" s="1"/>
  <c r="L53" i="9" l="1"/>
  <c r="L43" i="12"/>
  <c r="L40" i="12"/>
  <c r="O58" i="11"/>
  <c r="P58" i="11" s="1"/>
  <c r="I165" i="28"/>
  <c r="O56" i="11"/>
  <c r="J241" i="28" s="1"/>
  <c r="I245" i="28"/>
  <c r="N60" i="11"/>
  <c r="I160" i="28" s="1"/>
  <c r="I246" i="28"/>
  <c r="N64" i="11"/>
  <c r="O64" i="11" s="1"/>
  <c r="N65" i="11"/>
  <c r="O65" i="11" s="1"/>
  <c r="N66" i="11"/>
  <c r="I144" i="28" s="1"/>
  <c r="N57" i="11"/>
  <c r="O57" i="11" s="1"/>
  <c r="I241" i="28"/>
  <c r="I240" i="28"/>
  <c r="I239" i="28"/>
  <c r="O66" i="11" l="1"/>
  <c r="J144" i="28" s="1"/>
  <c r="I247" i="28"/>
  <c r="O54" i="11"/>
  <c r="J239" i="28" s="1"/>
  <c r="O61" i="11"/>
  <c r="P61" i="11" s="1"/>
  <c r="P64" i="11"/>
  <c r="P65" i="11"/>
  <c r="K247" i="28" s="1"/>
  <c r="J247" i="28"/>
  <c r="J244" i="28"/>
  <c r="P57" i="11"/>
  <c r="K244" i="28" s="1"/>
  <c r="O60" i="11"/>
  <c r="O55" i="11"/>
  <c r="I244" i="28"/>
  <c r="O59" i="11"/>
  <c r="P66" i="11"/>
  <c r="K144" i="28" s="1"/>
  <c r="P56" i="11"/>
  <c r="K241" i="28" s="1"/>
  <c r="P54" i="11" l="1"/>
  <c r="K239" i="28" s="1"/>
  <c r="J246" i="28"/>
  <c r="P63" i="11"/>
  <c r="K246" i="28" s="1"/>
  <c r="P59" i="11"/>
  <c r="K245" i="28" s="1"/>
  <c r="J245" i="28"/>
  <c r="P55" i="11"/>
  <c r="K240" i="28" s="1"/>
  <c r="J240" i="28"/>
  <c r="P14" i="11" l="1"/>
  <c r="O14" i="11"/>
  <c r="P20" i="11"/>
  <c r="O20" i="11"/>
  <c r="P23" i="11"/>
  <c r="O23" i="11"/>
  <c r="P22" i="11"/>
  <c r="O22" i="11"/>
  <c r="P21" i="11"/>
  <c r="O21" i="11"/>
  <c r="P10" i="11"/>
  <c r="O10" i="11"/>
  <c r="P11" i="11"/>
  <c r="O11" i="11"/>
  <c r="P7" i="11"/>
  <c r="O7" i="11"/>
  <c r="J42" i="1"/>
  <c r="E163" i="28"/>
  <c r="B156" i="28" l="1"/>
  <c r="B301" i="28" l="1"/>
  <c r="N17" i="12"/>
  <c r="M17" i="12"/>
  <c r="L17" i="12"/>
  <c r="N14" i="9"/>
  <c r="M14" i="9"/>
  <c r="L14" i="9"/>
  <c r="N16" i="12"/>
  <c r="M16" i="12"/>
  <c r="L16" i="12"/>
  <c r="N15" i="9"/>
  <c r="M15" i="9"/>
  <c r="L15" i="9"/>
  <c r="N9" i="12"/>
  <c r="M9" i="12"/>
  <c r="M7" i="9"/>
  <c r="N7" i="9" s="1"/>
  <c r="N12" i="10"/>
  <c r="O12" i="10" s="1"/>
  <c r="M10" i="7"/>
  <c r="N10" i="7" s="1"/>
  <c r="M11" i="8"/>
  <c r="N11" i="8" s="1"/>
  <c r="M17" i="6"/>
  <c r="N17" i="6" s="1"/>
  <c r="M9" i="5"/>
  <c r="L12" i="1"/>
  <c r="M12" i="1" s="1"/>
  <c r="M14" i="3"/>
  <c r="N14" i="3" s="1"/>
  <c r="N9" i="5" l="1"/>
  <c r="C235" i="28"/>
  <c r="E235" i="28"/>
  <c r="B235" i="28"/>
  <c r="I235" i="28"/>
  <c r="L43" i="4"/>
  <c r="J91" i="28"/>
  <c r="K91" i="28"/>
  <c r="I91" i="28"/>
  <c r="I90" i="28"/>
  <c r="I198" i="28"/>
  <c r="I197" i="28"/>
  <c r="I193" i="28"/>
  <c r="I132" i="28"/>
  <c r="J180" i="28"/>
  <c r="K180" i="28"/>
  <c r="J179" i="28"/>
  <c r="K179" i="28"/>
  <c r="I180" i="28"/>
  <c r="I179" i="28"/>
  <c r="C236" i="28"/>
  <c r="E236" i="28"/>
  <c r="B236" i="28"/>
  <c r="C234" i="28"/>
  <c r="E234" i="28"/>
  <c r="B234" i="28"/>
  <c r="C233" i="28"/>
  <c r="E233" i="28"/>
  <c r="B233" i="28"/>
  <c r="C232" i="28"/>
  <c r="D232" i="28"/>
  <c r="E232" i="28"/>
  <c r="F232" i="28"/>
  <c r="H232" i="28" s="1"/>
  <c r="I232" i="28"/>
  <c r="B232" i="28"/>
  <c r="C231" i="28"/>
  <c r="E231" i="28"/>
  <c r="B231" i="28"/>
  <c r="C230" i="28"/>
  <c r="E230" i="28"/>
  <c r="B230" i="28"/>
  <c r="C229" i="28"/>
  <c r="E229" i="28"/>
  <c r="I229" i="28"/>
  <c r="J229" i="28"/>
  <c r="K229" i="28"/>
  <c r="B229" i="28"/>
  <c r="C228" i="28"/>
  <c r="D228" i="28"/>
  <c r="E228" i="28"/>
  <c r="F228" i="28"/>
  <c r="H228" i="28" s="1"/>
  <c r="I228" i="28"/>
  <c r="J228" i="28"/>
  <c r="K228" i="28"/>
  <c r="B228" i="28"/>
  <c r="C227" i="28"/>
  <c r="D227" i="28"/>
  <c r="E227" i="28"/>
  <c r="F227" i="28"/>
  <c r="H227" i="28" s="1"/>
  <c r="I227" i="28"/>
  <c r="J227" i="28"/>
  <c r="K227" i="28"/>
  <c r="B227" i="28"/>
  <c r="C226" i="28"/>
  <c r="D226" i="28"/>
  <c r="E226" i="28"/>
  <c r="F226" i="28"/>
  <c r="H226" i="28" s="1"/>
  <c r="I226" i="28"/>
  <c r="J226" i="28"/>
  <c r="K226" i="28"/>
  <c r="B226" i="28"/>
  <c r="C225" i="28"/>
  <c r="E225" i="28"/>
  <c r="B225" i="28"/>
  <c r="C224" i="28"/>
  <c r="E224" i="28"/>
  <c r="B224" i="28"/>
  <c r="C223" i="28"/>
  <c r="E223" i="28"/>
  <c r="B223" i="28"/>
  <c r="C222" i="28"/>
  <c r="E222" i="28"/>
  <c r="B222" i="28"/>
  <c r="C221" i="28"/>
  <c r="E221" i="28"/>
  <c r="B221" i="28"/>
  <c r="C220" i="28"/>
  <c r="E220" i="28"/>
  <c r="B220" i="28"/>
  <c r="C219" i="28"/>
  <c r="E219" i="28"/>
  <c r="B219" i="28"/>
  <c r="C218" i="28"/>
  <c r="E218" i="28"/>
  <c r="I218" i="28"/>
  <c r="B218" i="28"/>
  <c r="C217" i="28"/>
  <c r="E217" i="28"/>
  <c r="B217" i="28"/>
  <c r="C216" i="28"/>
  <c r="E216" i="28"/>
  <c r="I216" i="28"/>
  <c r="C215" i="28"/>
  <c r="E215" i="28"/>
  <c r="I215" i="28"/>
  <c r="C214" i="28"/>
  <c r="E214" i="28"/>
  <c r="I214" i="28"/>
  <c r="B216" i="28"/>
  <c r="B215" i="28"/>
  <c r="B214" i="28"/>
  <c r="C213" i="28"/>
  <c r="E213" i="28"/>
  <c r="I213" i="28"/>
  <c r="B213" i="28"/>
  <c r="C212" i="28"/>
  <c r="D212" i="28"/>
  <c r="E212" i="28"/>
  <c r="F212" i="28"/>
  <c r="H212" i="28" s="1"/>
  <c r="I212" i="28"/>
  <c r="J212" i="28"/>
  <c r="K212" i="28"/>
  <c r="B212" i="28"/>
  <c r="C211" i="28"/>
  <c r="D211" i="28"/>
  <c r="E211" i="28"/>
  <c r="F211" i="28"/>
  <c r="H211" i="28" s="1"/>
  <c r="I211" i="28"/>
  <c r="J211" i="28"/>
  <c r="K211" i="28"/>
  <c r="B211" i="28"/>
  <c r="C210" i="28"/>
  <c r="E210" i="28"/>
  <c r="I210" i="28"/>
  <c r="J210" i="28"/>
  <c r="K210" i="28"/>
  <c r="B210" i="28"/>
  <c r="C209" i="28"/>
  <c r="E209" i="28"/>
  <c r="B209" i="28"/>
  <c r="C208" i="28"/>
  <c r="E208" i="28"/>
  <c r="B208" i="28"/>
  <c r="C207" i="28"/>
  <c r="E207" i="28"/>
  <c r="B207" i="28"/>
  <c r="C206" i="28"/>
  <c r="I206" i="28"/>
  <c r="C205" i="28"/>
  <c r="I205" i="28"/>
  <c r="C204" i="28"/>
  <c r="I204" i="28"/>
  <c r="B206" i="28"/>
  <c r="B205" i="28"/>
  <c r="B204" i="28"/>
  <c r="C203" i="28"/>
  <c r="E203" i="28"/>
  <c r="I203" i="28"/>
  <c r="J203" i="28"/>
  <c r="K203" i="28"/>
  <c r="B203" i="28"/>
  <c r="C202" i="28"/>
  <c r="E202" i="28"/>
  <c r="I202" i="28"/>
  <c r="J202" i="28"/>
  <c r="K202" i="28"/>
  <c r="B202" i="28"/>
  <c r="C201" i="28"/>
  <c r="D201" i="28"/>
  <c r="E201" i="28"/>
  <c r="F201" i="28"/>
  <c r="H201" i="28" s="1"/>
  <c r="I201" i="28"/>
  <c r="B201" i="28"/>
  <c r="C196" i="28"/>
  <c r="E196" i="28"/>
  <c r="I196" i="28"/>
  <c r="J196" i="28"/>
  <c r="K196" i="28"/>
  <c r="B196" i="28"/>
  <c r="C192" i="28"/>
  <c r="E192" i="28"/>
  <c r="I192" i="28"/>
  <c r="J192" i="28"/>
  <c r="K192" i="28"/>
  <c r="B192" i="28"/>
  <c r="C189" i="28"/>
  <c r="E189" i="28"/>
  <c r="I189" i="28"/>
  <c r="B189" i="28"/>
  <c r="C188" i="28"/>
  <c r="E188" i="28"/>
  <c r="I188" i="28"/>
  <c r="C5" i="26" s="1"/>
  <c r="J188" i="28"/>
  <c r="K188" i="28"/>
  <c r="B188" i="28"/>
  <c r="C186" i="28"/>
  <c r="D186" i="28"/>
  <c r="E186" i="28"/>
  <c r="F186" i="28"/>
  <c r="H186" i="28" s="1"/>
  <c r="I186" i="28"/>
  <c r="J186" i="28"/>
  <c r="K186" i="28"/>
  <c r="B186" i="28"/>
  <c r="C187" i="28"/>
  <c r="E187" i="28"/>
  <c r="I187" i="28"/>
  <c r="B187" i="28"/>
  <c r="C185" i="28"/>
  <c r="E185" i="28"/>
  <c r="I185" i="28"/>
  <c r="J185" i="28"/>
  <c r="K185" i="28"/>
  <c r="B185" i="28"/>
  <c r="C184" i="28"/>
  <c r="E184" i="28"/>
  <c r="I184" i="28"/>
  <c r="J184" i="28"/>
  <c r="K184" i="28"/>
  <c r="B184" i="28"/>
  <c r="C183" i="28"/>
  <c r="E183" i="28"/>
  <c r="I183" i="28"/>
  <c r="J183" i="28"/>
  <c r="K183" i="28"/>
  <c r="B183" i="28"/>
  <c r="C182" i="28"/>
  <c r="E182" i="28"/>
  <c r="I182" i="28"/>
  <c r="J182" i="28"/>
  <c r="K182" i="28"/>
  <c r="B182" i="28"/>
  <c r="C181" i="28"/>
  <c r="E181" i="28"/>
  <c r="I181" i="28"/>
  <c r="J181" i="28"/>
  <c r="K181" i="28"/>
  <c r="B181" i="28"/>
  <c r="C178" i="28"/>
  <c r="E178" i="28"/>
  <c r="B178" i="28"/>
  <c r="C177" i="28"/>
  <c r="D177" i="28"/>
  <c r="E177" i="28"/>
  <c r="F177" i="28"/>
  <c r="H177" i="28" s="1"/>
  <c r="I177" i="28"/>
  <c r="B177" i="28"/>
  <c r="C176" i="28"/>
  <c r="D176" i="28"/>
  <c r="E176" i="28"/>
  <c r="F176" i="28"/>
  <c r="H176" i="28" s="1"/>
  <c r="I176" i="28"/>
  <c r="B176" i="28"/>
  <c r="C175" i="28"/>
  <c r="E175" i="28"/>
  <c r="I175" i="28"/>
  <c r="B175" i="28"/>
  <c r="C174" i="28"/>
  <c r="E174" i="28"/>
  <c r="I174" i="28"/>
  <c r="J174" i="28"/>
  <c r="B174" i="28"/>
  <c r="E173" i="28"/>
  <c r="I173" i="28"/>
  <c r="J173" i="28"/>
  <c r="K173" i="28"/>
  <c r="B173" i="28"/>
  <c r="C172" i="28"/>
  <c r="E172" i="28"/>
  <c r="I172" i="28"/>
  <c r="C171" i="28"/>
  <c r="E171" i="28"/>
  <c r="I171" i="28"/>
  <c r="C170" i="28"/>
  <c r="E170" i="28"/>
  <c r="I170" i="28"/>
  <c r="B172" i="28"/>
  <c r="B171" i="28"/>
  <c r="B170" i="28"/>
  <c r="C169" i="28"/>
  <c r="D169" i="28"/>
  <c r="E169" i="28"/>
  <c r="F169" i="28"/>
  <c r="H169" i="28" s="1"/>
  <c r="I169" i="28"/>
  <c r="J169" i="28"/>
  <c r="K169" i="28"/>
  <c r="B169" i="28"/>
  <c r="C168" i="28"/>
  <c r="D168" i="28"/>
  <c r="E168" i="28"/>
  <c r="F168" i="28"/>
  <c r="H168" i="28" s="1"/>
  <c r="I168" i="28"/>
  <c r="J168" i="28"/>
  <c r="K168" i="28"/>
  <c r="B168" i="28"/>
  <c r="C167" i="28"/>
  <c r="D167" i="28"/>
  <c r="E167" i="28"/>
  <c r="F167" i="28"/>
  <c r="H167" i="28" s="1"/>
  <c r="I167" i="28"/>
  <c r="J167" i="28"/>
  <c r="K167" i="28"/>
  <c r="B167" i="28"/>
  <c r="C166" i="28"/>
  <c r="D166" i="28"/>
  <c r="E166" i="28"/>
  <c r="F166" i="28"/>
  <c r="H166" i="28" s="1"/>
  <c r="I166" i="28"/>
  <c r="J166" i="28"/>
  <c r="K166" i="28"/>
  <c r="B166" i="28"/>
  <c r="C164" i="28"/>
  <c r="E164" i="28"/>
  <c r="B164" i="28"/>
  <c r="C163" i="28"/>
  <c r="C162" i="28"/>
  <c r="E162" i="28"/>
  <c r="B162" i="28"/>
  <c r="E161" i="28"/>
  <c r="B161" i="28"/>
  <c r="C160" i="28"/>
  <c r="B160" i="28"/>
  <c r="C159" i="28"/>
  <c r="E159" i="28"/>
  <c r="I159" i="28"/>
  <c r="J159" i="28"/>
  <c r="K159" i="28"/>
  <c r="B159" i="28"/>
  <c r="C158" i="28"/>
  <c r="E158" i="28"/>
  <c r="I158" i="28"/>
  <c r="B158" i="28"/>
  <c r="C157" i="28"/>
  <c r="E157" i="28"/>
  <c r="I157" i="28"/>
  <c r="J157" i="28"/>
  <c r="K157" i="28"/>
  <c r="B157" i="28"/>
  <c r="C156" i="28"/>
  <c r="E156" i="28"/>
  <c r="I156" i="28"/>
  <c r="J156" i="28"/>
  <c r="K156" i="28"/>
  <c r="C155" i="28"/>
  <c r="D155" i="28"/>
  <c r="E155" i="28"/>
  <c r="F155" i="28"/>
  <c r="H155" i="28" s="1"/>
  <c r="I155" i="28"/>
  <c r="B155" i="28"/>
  <c r="C154" i="28"/>
  <c r="E154" i="28"/>
  <c r="C153" i="28"/>
  <c r="E153" i="28"/>
  <c r="I153" i="28"/>
  <c r="C152" i="28"/>
  <c r="E152" i="28"/>
  <c r="I152" i="28"/>
  <c r="B154" i="28"/>
  <c r="B153" i="28"/>
  <c r="B152" i="28"/>
  <c r="C151" i="28"/>
  <c r="E151" i="28"/>
  <c r="I151" i="28"/>
  <c r="B151" i="28"/>
  <c r="C150" i="28"/>
  <c r="E150" i="28"/>
  <c r="I150" i="28"/>
  <c r="J150" i="28"/>
  <c r="K150" i="28"/>
  <c r="B150" i="28"/>
  <c r="C149" i="28"/>
  <c r="E149" i="28"/>
  <c r="C148" i="28"/>
  <c r="D148" i="28"/>
  <c r="E148" i="28"/>
  <c r="F148" i="28"/>
  <c r="H148" i="28" s="1"/>
  <c r="I148" i="28"/>
  <c r="J148" i="28"/>
  <c r="K148" i="28"/>
  <c r="B148" i="28"/>
  <c r="C147" i="28"/>
  <c r="E147" i="28"/>
  <c r="C146" i="28"/>
  <c r="E146" i="28"/>
  <c r="C145" i="28"/>
  <c r="E145" i="28"/>
  <c r="B147" i="28"/>
  <c r="B146" i="28"/>
  <c r="B145" i="28"/>
  <c r="C143" i="28"/>
  <c r="E143" i="28"/>
  <c r="C142" i="28"/>
  <c r="E142" i="28"/>
  <c r="C141" i="28"/>
  <c r="E141" i="28"/>
  <c r="B143" i="28"/>
  <c r="B142" i="28"/>
  <c r="B141" i="28"/>
  <c r="C140" i="28"/>
  <c r="E140" i="28"/>
  <c r="I140" i="28"/>
  <c r="J140" i="28"/>
  <c r="K140" i="28"/>
  <c r="B140" i="28"/>
  <c r="C139" i="28"/>
  <c r="E139" i="28"/>
  <c r="I139" i="28"/>
  <c r="J139" i="28"/>
  <c r="K139" i="28"/>
  <c r="B139" i="28"/>
  <c r="C138" i="28"/>
  <c r="E138" i="28"/>
  <c r="I138" i="28"/>
  <c r="B138" i="28"/>
  <c r="C137" i="28"/>
  <c r="E137" i="28"/>
  <c r="B137" i="28"/>
  <c r="C136" i="28"/>
  <c r="E136" i="28"/>
  <c r="I136" i="28"/>
  <c r="B136" i="28"/>
  <c r="C135" i="28"/>
  <c r="E135" i="28"/>
  <c r="I135" i="28"/>
  <c r="B135" i="28"/>
  <c r="C134" i="28"/>
  <c r="D134" i="28"/>
  <c r="E134" i="28"/>
  <c r="F134" i="28"/>
  <c r="H134" i="28" s="1"/>
  <c r="I134" i="28"/>
  <c r="J134" i="28"/>
  <c r="K134" i="28"/>
  <c r="B134" i="28"/>
  <c r="C133" i="28"/>
  <c r="E133" i="28"/>
  <c r="C131" i="28"/>
  <c r="E131" i="28"/>
  <c r="B131" i="28"/>
  <c r="C130" i="28"/>
  <c r="B130" i="28"/>
  <c r="C129" i="28"/>
  <c r="E129" i="28"/>
  <c r="I129" i="28"/>
  <c r="J129" i="28"/>
  <c r="K129" i="28"/>
  <c r="B129" i="28"/>
  <c r="C128" i="28"/>
  <c r="E128" i="28"/>
  <c r="I128" i="28"/>
  <c r="J128" i="28"/>
  <c r="K128" i="28"/>
  <c r="B128" i="28"/>
  <c r="C126" i="28"/>
  <c r="D126" i="28"/>
  <c r="E126" i="28"/>
  <c r="F126" i="28"/>
  <c r="H126" i="28" s="1"/>
  <c r="I126" i="28"/>
  <c r="J126" i="28"/>
  <c r="K126" i="28"/>
  <c r="B126" i="28"/>
  <c r="C124" i="28"/>
  <c r="E124" i="28"/>
  <c r="I124" i="28"/>
  <c r="J124" i="28"/>
  <c r="K124" i="28"/>
  <c r="B124" i="28"/>
  <c r="C123" i="28"/>
  <c r="E123" i="28"/>
  <c r="I123" i="28"/>
  <c r="B123" i="28"/>
  <c r="C122" i="28"/>
  <c r="E122" i="28"/>
  <c r="I122" i="28"/>
  <c r="B122" i="28"/>
  <c r="C121" i="28"/>
  <c r="E121" i="28"/>
  <c r="I121" i="28"/>
  <c r="J121" i="28"/>
  <c r="K121" i="28"/>
  <c r="B121" i="28"/>
  <c r="C120" i="28"/>
  <c r="E120" i="28"/>
  <c r="C119" i="28"/>
  <c r="E119" i="28"/>
  <c r="I119" i="28"/>
  <c r="C118" i="28"/>
  <c r="E118" i="28"/>
  <c r="I118" i="28"/>
  <c r="B120" i="28"/>
  <c r="B119" i="28"/>
  <c r="B118" i="28"/>
  <c r="C117" i="28"/>
  <c r="D117" i="28"/>
  <c r="E117" i="28"/>
  <c r="F117" i="28"/>
  <c r="H117" i="28" s="1"/>
  <c r="I117" i="28"/>
  <c r="B117" i="28"/>
  <c r="C116" i="28"/>
  <c r="C115" i="28"/>
  <c r="E115" i="28"/>
  <c r="C114" i="28"/>
  <c r="B116" i="28"/>
  <c r="B115" i="28"/>
  <c r="B114" i="28"/>
  <c r="C113" i="28"/>
  <c r="D113" i="28"/>
  <c r="E113" i="28"/>
  <c r="F113" i="28"/>
  <c r="H113" i="28" s="1"/>
  <c r="I113" i="28"/>
  <c r="B113" i="28"/>
  <c r="C111" i="28"/>
  <c r="E111" i="28"/>
  <c r="I111" i="28"/>
  <c r="B111" i="28"/>
  <c r="C110" i="28"/>
  <c r="E110" i="28"/>
  <c r="B110" i="28"/>
  <c r="C109" i="28"/>
  <c r="D109" i="28"/>
  <c r="E109" i="28"/>
  <c r="F109" i="28"/>
  <c r="H109" i="28" s="1"/>
  <c r="I109" i="28"/>
  <c r="J109" i="28"/>
  <c r="K109" i="28"/>
  <c r="C108" i="28"/>
  <c r="E108" i="28"/>
  <c r="J108" i="28"/>
  <c r="K108" i="28"/>
  <c r="B108" i="28"/>
  <c r="C107" i="28"/>
  <c r="E107" i="28"/>
  <c r="I107" i="28"/>
  <c r="J107" i="28"/>
  <c r="K107" i="28"/>
  <c r="B107" i="28"/>
  <c r="C106" i="28"/>
  <c r="E106" i="28"/>
  <c r="I106" i="28"/>
  <c r="J106" i="28"/>
  <c r="K106" i="28"/>
  <c r="B106" i="28"/>
  <c r="C105" i="28"/>
  <c r="D105" i="28"/>
  <c r="E105" i="28"/>
  <c r="F105" i="28"/>
  <c r="H105" i="28" s="1"/>
  <c r="I105" i="28"/>
  <c r="J105" i="28"/>
  <c r="K105" i="28"/>
  <c r="B105" i="28"/>
  <c r="C104" i="28"/>
  <c r="E104" i="28"/>
  <c r="I104" i="28"/>
  <c r="B104" i="28"/>
  <c r="C103" i="28"/>
  <c r="D103" i="28"/>
  <c r="E103" i="28"/>
  <c r="F103" i="28"/>
  <c r="H103" i="28" s="1"/>
  <c r="I103" i="28"/>
  <c r="J103" i="28"/>
  <c r="K103" i="28"/>
  <c r="B103" i="28"/>
  <c r="C102" i="28"/>
  <c r="E102" i="28"/>
  <c r="I102" i="28"/>
  <c r="J102" i="28"/>
  <c r="K102" i="28"/>
  <c r="B102" i="28"/>
  <c r="C101" i="28"/>
  <c r="D101" i="28"/>
  <c r="E101" i="28"/>
  <c r="F101" i="28"/>
  <c r="H101" i="28" s="1"/>
  <c r="I101" i="28"/>
  <c r="J101" i="28"/>
  <c r="K101" i="28"/>
  <c r="B101" i="28"/>
  <c r="C100" i="28"/>
  <c r="D100" i="28"/>
  <c r="E100" i="28"/>
  <c r="F100" i="28"/>
  <c r="H100" i="28" s="1"/>
  <c r="I100" i="28"/>
  <c r="B100" i="28"/>
  <c r="C99" i="28"/>
  <c r="D99" i="28"/>
  <c r="E99" i="28"/>
  <c r="F99" i="28"/>
  <c r="H99" i="28" s="1"/>
  <c r="I99" i="28"/>
  <c r="B99" i="28"/>
  <c r="C98" i="28"/>
  <c r="D98" i="28"/>
  <c r="E98" i="28"/>
  <c r="F98" i="28"/>
  <c r="H98" i="28" s="1"/>
  <c r="I98" i="28"/>
  <c r="B98" i="28"/>
  <c r="E96" i="28"/>
  <c r="J96" i="28"/>
  <c r="K96" i="28"/>
  <c r="B96" i="28"/>
  <c r="C95" i="28"/>
  <c r="E95" i="28"/>
  <c r="I95" i="28"/>
  <c r="B95" i="28"/>
  <c r="C94" i="28"/>
  <c r="E94" i="28"/>
  <c r="I94" i="28"/>
  <c r="B94" i="28"/>
  <c r="C89" i="28"/>
  <c r="D89" i="28"/>
  <c r="E89" i="28"/>
  <c r="F89" i="28"/>
  <c r="H89" i="28" s="1"/>
  <c r="I89" i="28"/>
  <c r="B89" i="28"/>
  <c r="C88" i="28"/>
  <c r="D88" i="28"/>
  <c r="E88" i="28"/>
  <c r="F88" i="28"/>
  <c r="H88" i="28" s="1"/>
  <c r="I88" i="28"/>
  <c r="B88" i="28"/>
  <c r="C87" i="28"/>
  <c r="D87" i="28"/>
  <c r="E87" i="28"/>
  <c r="F87" i="28"/>
  <c r="H87" i="28" s="1"/>
  <c r="I87" i="28"/>
  <c r="B87" i="28"/>
  <c r="C86" i="28"/>
  <c r="D86" i="28"/>
  <c r="E86" i="28"/>
  <c r="F86" i="28"/>
  <c r="H86" i="28" s="1"/>
  <c r="I86" i="28"/>
  <c r="B86" i="28"/>
  <c r="C85" i="28"/>
  <c r="D85" i="28"/>
  <c r="E85" i="28"/>
  <c r="F85" i="28"/>
  <c r="H85" i="28" s="1"/>
  <c r="I85" i="28"/>
  <c r="B85" i="28"/>
  <c r="C84" i="28"/>
  <c r="E84" i="28"/>
  <c r="B84" i="28"/>
  <c r="C83" i="28"/>
  <c r="E83" i="28"/>
  <c r="I83" i="28"/>
  <c r="B83" i="28"/>
  <c r="C82" i="28"/>
  <c r="E82" i="28"/>
  <c r="I82" i="28"/>
  <c r="J82" i="28"/>
  <c r="K82" i="28"/>
  <c r="B82" i="28"/>
  <c r="C81" i="28"/>
  <c r="D81" i="28"/>
  <c r="E81" i="28"/>
  <c r="F81" i="28"/>
  <c r="H81" i="28" s="1"/>
  <c r="I81" i="28"/>
  <c r="J81" i="28"/>
  <c r="K81" i="28"/>
  <c r="B81" i="28"/>
  <c r="C80" i="28"/>
  <c r="D80" i="28"/>
  <c r="E80" i="28"/>
  <c r="F80" i="28"/>
  <c r="H80" i="28" s="1"/>
  <c r="I80" i="28"/>
  <c r="J80" i="28"/>
  <c r="K80" i="28"/>
  <c r="B80" i="28"/>
  <c r="C79" i="28"/>
  <c r="E79" i="28"/>
  <c r="B79" i="28"/>
  <c r="C78" i="28"/>
  <c r="E78" i="28"/>
  <c r="B78" i="28"/>
  <c r="C76" i="28"/>
  <c r="E76" i="28"/>
  <c r="B76" i="28"/>
  <c r="J74" i="28"/>
  <c r="K74" i="28"/>
  <c r="I75" i="28"/>
  <c r="J72" i="28"/>
  <c r="K72" i="28"/>
  <c r="I72" i="28"/>
  <c r="I74" i="28"/>
  <c r="I73" i="28"/>
  <c r="C71" i="28"/>
  <c r="E71" i="28"/>
  <c r="F306" i="28"/>
  <c r="H306" i="28" s="1"/>
  <c r="E305" i="28"/>
  <c r="F305" i="28" s="1"/>
  <c r="H305" i="28" s="1"/>
  <c r="D305" i="28"/>
  <c r="E304" i="28"/>
  <c r="F304" i="28" s="1"/>
  <c r="H304" i="28" s="1"/>
  <c r="F303" i="28"/>
  <c r="H303" i="28" s="1"/>
  <c r="B302" i="28"/>
  <c r="F302" i="28" s="1"/>
  <c r="H302" i="28" s="1"/>
  <c r="J301" i="28"/>
  <c r="F299" i="28"/>
  <c r="H299" i="28" s="1"/>
  <c r="E298" i="28"/>
  <c r="F298" i="28" s="1"/>
  <c r="H298" i="28" s="1"/>
  <c r="I297" i="28"/>
  <c r="E297" i="28"/>
  <c r="C297" i="28"/>
  <c r="C307" i="28" s="1"/>
  <c r="B290" i="28"/>
  <c r="B291" i="28" s="1"/>
  <c r="K288" i="28"/>
  <c r="J288" i="28"/>
  <c r="I288" i="28"/>
  <c r="E288" i="28"/>
  <c r="C288" i="28"/>
  <c r="F287" i="28"/>
  <c r="H287" i="28" s="1"/>
  <c r="K286" i="28"/>
  <c r="J286" i="28"/>
  <c r="I286" i="28"/>
  <c r="E286" i="28"/>
  <c r="C286" i="28"/>
  <c r="K285" i="28"/>
  <c r="J285" i="28"/>
  <c r="I285" i="28"/>
  <c r="E285" i="28"/>
  <c r="C285" i="28"/>
  <c r="K284" i="28"/>
  <c r="J284" i="28"/>
  <c r="I284" i="28"/>
  <c r="E284" i="28"/>
  <c r="C284" i="28"/>
  <c r="K283" i="28"/>
  <c r="J283" i="28"/>
  <c r="I283" i="28"/>
  <c r="E283" i="28"/>
  <c r="C283" i="28"/>
  <c r="K282" i="28"/>
  <c r="J282" i="28"/>
  <c r="I282" i="28"/>
  <c r="F282" i="28"/>
  <c r="H282" i="28" s="1"/>
  <c r="C282" i="28"/>
  <c r="B278" i="28"/>
  <c r="I277" i="28"/>
  <c r="E277" i="28"/>
  <c r="C277" i="28"/>
  <c r="I276" i="28"/>
  <c r="E276" i="28"/>
  <c r="C276" i="28"/>
  <c r="K270" i="28"/>
  <c r="J270" i="28"/>
  <c r="I270" i="28"/>
  <c r="K269" i="28"/>
  <c r="J269" i="28"/>
  <c r="I269" i="28"/>
  <c r="F269" i="28"/>
  <c r="H269" i="28" s="1"/>
  <c r="E269" i="28"/>
  <c r="D269" i="28"/>
  <c r="C269" i="28"/>
  <c r="B269" i="28"/>
  <c r="K267" i="28"/>
  <c r="J267" i="28"/>
  <c r="E267" i="28"/>
  <c r="D267" i="28"/>
  <c r="C267" i="28"/>
  <c r="B267" i="28"/>
  <c r="K266" i="28"/>
  <c r="J266" i="28"/>
  <c r="I266" i="28"/>
  <c r="F266" i="28"/>
  <c r="H266" i="28" s="1"/>
  <c r="E266" i="28"/>
  <c r="D266" i="28"/>
  <c r="C266" i="28"/>
  <c r="B266" i="28"/>
  <c r="K265" i="28"/>
  <c r="J265" i="28"/>
  <c r="I265" i="28"/>
  <c r="E265" i="28"/>
  <c r="C265" i="28"/>
  <c r="K264" i="28"/>
  <c r="J264" i="28"/>
  <c r="I264" i="28"/>
  <c r="K263" i="28"/>
  <c r="J263" i="28"/>
  <c r="I263" i="28"/>
  <c r="F263" i="28"/>
  <c r="H263" i="28" s="1"/>
  <c r="E263" i="28"/>
  <c r="D263" i="28"/>
  <c r="C263" i="28"/>
  <c r="B263" i="28"/>
  <c r="E262" i="28"/>
  <c r="C262" i="28"/>
  <c r="B262" i="28"/>
  <c r="K261" i="28"/>
  <c r="J261" i="28"/>
  <c r="I261" i="28"/>
  <c r="E261" i="28"/>
  <c r="C261" i="28"/>
  <c r="E72" i="28"/>
  <c r="C72" i="28"/>
  <c r="B72" i="28"/>
  <c r="K237" i="28"/>
  <c r="J237" i="28"/>
  <c r="I237" i="28"/>
  <c r="E237" i="28"/>
  <c r="C237" i="28"/>
  <c r="B237" i="28"/>
  <c r="E75" i="28"/>
  <c r="C75" i="28"/>
  <c r="B75" i="28"/>
  <c r="E73" i="28"/>
  <c r="C73" i="28"/>
  <c r="B73" i="28"/>
  <c r="C74" i="28"/>
  <c r="B92" i="28"/>
  <c r="F97" i="28"/>
  <c r="H97" i="28" s="1"/>
  <c r="E97" i="28"/>
  <c r="D97" i="28"/>
  <c r="C97" i="28"/>
  <c r="B97" i="28"/>
  <c r="C165" i="28"/>
  <c r="K125" i="28"/>
  <c r="J125" i="28"/>
  <c r="I125" i="28"/>
  <c r="E125" i="28"/>
  <c r="C125" i="28"/>
  <c r="B125" i="28"/>
  <c r="I77" i="28"/>
  <c r="C77" i="28"/>
  <c r="B77" i="28"/>
  <c r="E93" i="28"/>
  <c r="C93" i="28"/>
  <c r="B93" i="28"/>
  <c r="K66" i="28"/>
  <c r="J66" i="28"/>
  <c r="I66" i="28"/>
  <c r="D66" i="28"/>
  <c r="C66" i="28"/>
  <c r="B66" i="28"/>
  <c r="F66" i="28" s="1"/>
  <c r="H66" i="28" s="1"/>
  <c r="E65" i="28"/>
  <c r="C65" i="28"/>
  <c r="B65" i="28"/>
  <c r="E64" i="28"/>
  <c r="C64" i="28"/>
  <c r="B64" i="28"/>
  <c r="E63" i="28"/>
  <c r="C63" i="28"/>
  <c r="B63" i="28"/>
  <c r="C62" i="28"/>
  <c r="B62" i="28"/>
  <c r="B61" i="28"/>
  <c r="F61" i="28" s="1"/>
  <c r="E60" i="28"/>
  <c r="C60" i="28"/>
  <c r="B60" i="28"/>
  <c r="E59" i="28"/>
  <c r="C59" i="28"/>
  <c r="B59" i="28"/>
  <c r="K53" i="28"/>
  <c r="J53" i="28"/>
  <c r="I53" i="28"/>
  <c r="C53" i="28"/>
  <c r="B53" i="28"/>
  <c r="K52" i="28"/>
  <c r="J52" i="28"/>
  <c r="I52" i="28"/>
  <c r="E52" i="28"/>
  <c r="C52" i="28"/>
  <c r="B52" i="28"/>
  <c r="K51" i="28"/>
  <c r="J51" i="28"/>
  <c r="I51" i="28"/>
  <c r="E51" i="28"/>
  <c r="C51" i="28"/>
  <c r="B51" i="28"/>
  <c r="K50" i="28"/>
  <c r="J50" i="28"/>
  <c r="I50" i="28"/>
  <c r="E50" i="28"/>
  <c r="C50" i="28"/>
  <c r="B50" i="28"/>
  <c r="K49" i="28"/>
  <c r="J49" i="28"/>
  <c r="I49" i="28"/>
  <c r="E49" i="28"/>
  <c r="C49" i="28"/>
  <c r="K47" i="28"/>
  <c r="J47" i="28"/>
  <c r="I47" i="28"/>
  <c r="E47" i="28"/>
  <c r="C47" i="28"/>
  <c r="B47" i="28"/>
  <c r="K45" i="28"/>
  <c r="J45" i="28"/>
  <c r="I45" i="28"/>
  <c r="E45" i="28"/>
  <c r="K39" i="28"/>
  <c r="J39" i="28"/>
  <c r="I39" i="28"/>
  <c r="F39" i="28"/>
  <c r="H39" i="28" s="1"/>
  <c r="E39" i="28"/>
  <c r="D39" i="28"/>
  <c r="C39" i="28"/>
  <c r="B39" i="28"/>
  <c r="K38" i="28"/>
  <c r="J38" i="28"/>
  <c r="I38" i="28"/>
  <c r="F38" i="28"/>
  <c r="H38" i="28" s="1"/>
  <c r="E38" i="28"/>
  <c r="D38" i="28"/>
  <c r="C38" i="28"/>
  <c r="B38" i="28"/>
  <c r="K37" i="28"/>
  <c r="J37" i="28"/>
  <c r="B37" i="28"/>
  <c r="K36" i="28"/>
  <c r="J36" i="28"/>
  <c r="I36" i="28"/>
  <c r="K35" i="28"/>
  <c r="J35" i="28"/>
  <c r="I35" i="28"/>
  <c r="E35" i="28"/>
  <c r="K34" i="28"/>
  <c r="J34" i="28"/>
  <c r="I34" i="28"/>
  <c r="B34" i="28"/>
  <c r="K30" i="28"/>
  <c r="J30" i="28"/>
  <c r="I30" i="28"/>
  <c r="E30" i="28"/>
  <c r="C30" i="28"/>
  <c r="B30" i="28"/>
  <c r="K28" i="28"/>
  <c r="J28" i="28"/>
  <c r="I28" i="28"/>
  <c r="B27" i="28"/>
  <c r="C26" i="28"/>
  <c r="B26" i="28"/>
  <c r="E25" i="28"/>
  <c r="C25" i="28"/>
  <c r="B25" i="28"/>
  <c r="K24" i="28"/>
  <c r="J24" i="28"/>
  <c r="I24" i="28"/>
  <c r="E24" i="28"/>
  <c r="C24" i="28"/>
  <c r="B24" i="28"/>
  <c r="I23" i="28"/>
  <c r="E23" i="28"/>
  <c r="B23" i="28"/>
  <c r="K22" i="28"/>
  <c r="J22" i="28"/>
  <c r="I22" i="28"/>
  <c r="K21" i="28"/>
  <c r="J21" i="28"/>
  <c r="E21" i="28"/>
  <c r="K20" i="28"/>
  <c r="J20" i="28"/>
  <c r="I20" i="28"/>
  <c r="F19" i="28"/>
  <c r="H19" i="28" s="1"/>
  <c r="E19" i="28"/>
  <c r="D19" i="28"/>
  <c r="C19" i="28"/>
  <c r="B19" i="28"/>
  <c r="K17" i="28"/>
  <c r="J17" i="28"/>
  <c r="E17" i="28"/>
  <c r="B17" i="28"/>
  <c r="K16" i="28"/>
  <c r="J16" i="28"/>
  <c r="I16" i="28"/>
  <c r="E16" i="28"/>
  <c r="C16" i="28"/>
  <c r="K15" i="28"/>
  <c r="J15" i="28"/>
  <c r="I15" i="28"/>
  <c r="K14" i="28"/>
  <c r="J14" i="28"/>
  <c r="I14" i="28"/>
  <c r="E14" i="28"/>
  <c r="C14" i="28"/>
  <c r="B14" i="28"/>
  <c r="M70" i="9"/>
  <c r="N70" i="9" s="1"/>
  <c r="N68" i="9"/>
  <c r="M67" i="9"/>
  <c r="N67" i="9" s="1"/>
  <c r="M66" i="9"/>
  <c r="N66" i="9" s="1"/>
  <c r="M65" i="9"/>
  <c r="N65" i="9" s="1"/>
  <c r="M69" i="9"/>
  <c r="N69" i="9" s="1"/>
  <c r="N58" i="9"/>
  <c r="K174" i="28" s="1"/>
  <c r="I61" i="28" l="1"/>
  <c r="J61" i="28" s="1"/>
  <c r="K61" i="28" s="1"/>
  <c r="H61" i="28"/>
  <c r="I54" i="28"/>
  <c r="K54" i="28"/>
  <c r="J54" i="28"/>
  <c r="E307" i="28"/>
  <c r="C67" i="28"/>
  <c r="E260" i="28"/>
  <c r="K40" i="28"/>
  <c r="F64" i="28"/>
  <c r="K291" i="28"/>
  <c r="C278" i="28"/>
  <c r="I291" i="28"/>
  <c r="C260" i="28"/>
  <c r="E278" i="28"/>
  <c r="C291" i="28"/>
  <c r="J291" i="28"/>
  <c r="J40" i="28"/>
  <c r="B67" i="28"/>
  <c r="I278" i="28"/>
  <c r="E291" i="28"/>
  <c r="F276" i="28"/>
  <c r="H276" i="28" s="1"/>
  <c r="F290" i="28"/>
  <c r="H290" i="28" s="1"/>
  <c r="I64" i="28" l="1"/>
  <c r="H64" i="28"/>
  <c r="I303" i="28"/>
  <c r="C4" i="26"/>
  <c r="C309" i="28"/>
  <c r="E309" i="28"/>
  <c r="N63" i="9" l="1"/>
  <c r="M46" i="9"/>
  <c r="J95" i="28" s="1"/>
  <c r="M45" i="9"/>
  <c r="J83" i="28"/>
  <c r="M48" i="9"/>
  <c r="J113" i="28" s="1"/>
  <c r="M49" i="9"/>
  <c r="J132" i="28" s="1"/>
  <c r="J262" i="28"/>
  <c r="J303" i="28" l="1"/>
  <c r="N45" i="9"/>
  <c r="K94" i="28" s="1"/>
  <c r="J94" i="28"/>
  <c r="N46" i="9"/>
  <c r="K95" i="28" s="1"/>
  <c r="N49" i="9"/>
  <c r="K132" i="28" s="1"/>
  <c r="N42" i="9"/>
  <c r="K83" i="28" s="1"/>
  <c r="N48" i="9"/>
  <c r="K113" i="28" s="1"/>
  <c r="L29" i="3"/>
  <c r="M29" i="3" s="1"/>
  <c r="N29" i="3" s="1"/>
  <c r="K33" i="1"/>
  <c r="L33" i="1" s="1"/>
  <c r="M33" i="1" s="1"/>
  <c r="L33" i="4"/>
  <c r="M33" i="4" s="1"/>
  <c r="N33" i="4" s="1"/>
  <c r="L34" i="5"/>
  <c r="M34" i="5" s="1"/>
  <c r="N34" i="5" s="1"/>
  <c r="L30" i="5"/>
  <c r="M30" i="5" s="1"/>
  <c r="N30" i="5" s="1"/>
  <c r="O34" i="6"/>
  <c r="P34" i="6"/>
  <c r="Q34" i="6"/>
  <c r="L31" i="7"/>
  <c r="M31" i="7" s="1"/>
  <c r="N31" i="7" s="1"/>
  <c r="N32" i="12"/>
  <c r="M32" i="12"/>
  <c r="L32" i="12"/>
  <c r="N31" i="12"/>
  <c r="M31" i="12"/>
  <c r="L31" i="12"/>
  <c r="L21" i="1" l="1"/>
  <c r="K21" i="1"/>
  <c r="N100" i="10" l="1"/>
  <c r="N98" i="10"/>
  <c r="O98" i="10" s="1"/>
  <c r="N97" i="10"/>
  <c r="O97" i="10" s="1"/>
  <c r="N96" i="10"/>
  <c r="O96" i="10" s="1"/>
  <c r="N74" i="10"/>
  <c r="J177" i="28" s="1"/>
  <c r="N73" i="10"/>
  <c r="J176" i="28" s="1"/>
  <c r="J232" i="28"/>
  <c r="N55" i="10"/>
  <c r="J99" i="28" s="1"/>
  <c r="N54" i="10"/>
  <c r="J98" i="28" s="1"/>
  <c r="N56" i="10"/>
  <c r="J100" i="28" s="1"/>
  <c r="N51" i="10"/>
  <c r="J88" i="28" s="1"/>
  <c r="N52" i="10"/>
  <c r="J89" i="28" s="1"/>
  <c r="N50" i="10"/>
  <c r="J87" i="28" s="1"/>
  <c r="N49" i="10"/>
  <c r="J86" i="28" s="1"/>
  <c r="N61" i="10"/>
  <c r="J117" i="28" s="1"/>
  <c r="N67" i="10"/>
  <c r="N101" i="10"/>
  <c r="O101" i="10" s="1"/>
  <c r="M53" i="7"/>
  <c r="N53" i="7" s="1"/>
  <c r="L63" i="8"/>
  <c r="M49" i="8"/>
  <c r="J151" i="28" s="1"/>
  <c r="M56" i="8"/>
  <c r="M52" i="8"/>
  <c r="N52" i="8" s="1"/>
  <c r="M51" i="8"/>
  <c r="N51" i="8" s="1"/>
  <c r="M44" i="8"/>
  <c r="M9" i="8"/>
  <c r="J23" i="28" s="1"/>
  <c r="K90" i="28" l="1"/>
  <c r="J90" i="28"/>
  <c r="N9" i="8"/>
  <c r="K23" i="28" s="1"/>
  <c r="O100" i="10"/>
  <c r="O52" i="10"/>
  <c r="K89" i="28" s="1"/>
  <c r="O55" i="10"/>
  <c r="K99" i="28" s="1"/>
  <c r="O61" i="10"/>
  <c r="K117" i="28" s="1"/>
  <c r="O49" i="10"/>
  <c r="K86" i="28" s="1"/>
  <c r="O56" i="10"/>
  <c r="K100" i="28" s="1"/>
  <c r="O73" i="10"/>
  <c r="K176" i="28" s="1"/>
  <c r="O67" i="10"/>
  <c r="O51" i="10"/>
  <c r="K88" i="28" s="1"/>
  <c r="O106" i="10"/>
  <c r="K232" i="28" s="1"/>
  <c r="O50" i="10"/>
  <c r="K87" i="28" s="1"/>
  <c r="O54" i="10"/>
  <c r="K98" i="28" s="1"/>
  <c r="O74" i="10"/>
  <c r="K177" i="28" s="1"/>
  <c r="N56" i="8"/>
  <c r="N49" i="8"/>
  <c r="K151" i="28" s="1"/>
  <c r="M37" i="6"/>
  <c r="J111" i="28" s="1"/>
  <c r="M42" i="6"/>
  <c r="J158" i="28" s="1"/>
  <c r="M46" i="6"/>
  <c r="N46" i="6" s="1"/>
  <c r="J123" i="28"/>
  <c r="M53" i="5"/>
  <c r="J206" i="28" s="1"/>
  <c r="M52" i="5"/>
  <c r="J122" i="28"/>
  <c r="M60" i="5"/>
  <c r="M34" i="3"/>
  <c r="M41" i="3"/>
  <c r="N41" i="3" s="1"/>
  <c r="M100" i="4"/>
  <c r="N100" i="4"/>
  <c r="L100" i="4"/>
  <c r="F4" i="15" s="1"/>
  <c r="M69" i="4"/>
  <c r="J152" i="28" s="1"/>
  <c r="M70" i="4"/>
  <c r="J153" i="28" s="1"/>
  <c r="M83" i="4"/>
  <c r="M88" i="4"/>
  <c r="L84" i="4"/>
  <c r="M85" i="4"/>
  <c r="M89" i="4"/>
  <c r="N53" i="5" l="1"/>
  <c r="K206" i="28" s="1"/>
  <c r="N52" i="5"/>
  <c r="K205" i="28" s="1"/>
  <c r="J205" i="28"/>
  <c r="N34" i="3"/>
  <c r="K189" i="28" s="1"/>
  <c r="J189" i="28"/>
  <c r="N85" i="4"/>
  <c r="N83" i="4"/>
  <c r="M84" i="4"/>
  <c r="N42" i="6"/>
  <c r="K158" i="28" s="1"/>
  <c r="N37" i="6"/>
  <c r="K111" i="28" s="1"/>
  <c r="N60" i="5"/>
  <c r="K122" i="28"/>
  <c r="K123" i="28"/>
  <c r="N69" i="4"/>
  <c r="K152" i="28" s="1"/>
  <c r="N88" i="4"/>
  <c r="N89" i="4"/>
  <c r="N70" i="4"/>
  <c r="K153" i="28" s="1"/>
  <c r="L38" i="2"/>
  <c r="M38" i="2" s="1"/>
  <c r="L57" i="1"/>
  <c r="L49" i="1"/>
  <c r="J216" i="28" s="1"/>
  <c r="L47" i="1"/>
  <c r="L48" i="1"/>
  <c r="J215" i="28" s="1"/>
  <c r="O100" i="4"/>
  <c r="O103" i="4" s="1"/>
  <c r="P100" i="4"/>
  <c r="P103" i="4" s="1"/>
  <c r="Q100" i="4"/>
  <c r="Q103" i="4" s="1"/>
  <c r="R100" i="4"/>
  <c r="R103" i="4" s="1"/>
  <c r="I78" i="28"/>
  <c r="J213" i="28"/>
  <c r="M47" i="1" l="1"/>
  <c r="K214" i="28" s="1"/>
  <c r="J214" i="28"/>
  <c r="N84" i="4"/>
  <c r="O95" i="10"/>
  <c r="K213" i="28" s="1"/>
  <c r="M49" i="1"/>
  <c r="K216" i="28" s="1"/>
  <c r="M48" i="1"/>
  <c r="K215" i="28" s="1"/>
  <c r="M57" i="1"/>
  <c r="N76" i="10"/>
  <c r="J187" i="28" s="1"/>
  <c r="M42" i="10"/>
  <c r="I71" i="28" s="1"/>
  <c r="N48" i="10"/>
  <c r="J201" i="28"/>
  <c r="O47" i="10" l="1"/>
  <c r="K78" i="28" s="1"/>
  <c r="J78" i="28"/>
  <c r="J85" i="28"/>
  <c r="O90" i="10"/>
  <c r="K201" i="28" s="1"/>
  <c r="O48" i="10"/>
  <c r="K85" i="28" s="1"/>
  <c r="O76" i="10"/>
  <c r="K187" i="28" s="1"/>
  <c r="N42" i="10"/>
  <c r="J71" i="28" s="1"/>
  <c r="N78" i="10"/>
  <c r="O78" i="10" s="1"/>
  <c r="N86" i="10"/>
  <c r="N83" i="10"/>
  <c r="J197" i="28" s="1"/>
  <c r="N46" i="10"/>
  <c r="J75" i="28" s="1"/>
  <c r="N44" i="10"/>
  <c r="J73" i="28" s="1"/>
  <c r="M40" i="12"/>
  <c r="M41" i="12"/>
  <c r="M47" i="12"/>
  <c r="M51" i="12"/>
  <c r="O38" i="11"/>
  <c r="J136" i="28" s="1"/>
  <c r="N36" i="11"/>
  <c r="I108" i="28" s="1"/>
  <c r="O48" i="11"/>
  <c r="P48" i="11" s="1"/>
  <c r="K48" i="11"/>
  <c r="M48" i="11" s="1"/>
  <c r="O49" i="11"/>
  <c r="N41" i="12" l="1"/>
  <c r="N40" i="12"/>
  <c r="K155" i="28" s="1"/>
  <c r="J155" i="28"/>
  <c r="K136" i="28"/>
  <c r="O86" i="10"/>
  <c r="K198" i="28" s="1"/>
  <c r="J198" i="28"/>
  <c r="P49" i="11"/>
  <c r="N51" i="12"/>
  <c r="N47" i="12"/>
  <c r="O44" i="10"/>
  <c r="K73" i="28" s="1"/>
  <c r="O46" i="10"/>
  <c r="K75" i="28" s="1"/>
  <c r="O42" i="10"/>
  <c r="K71" i="28" s="1"/>
  <c r="O83" i="10"/>
  <c r="K197" i="28" s="1"/>
  <c r="O24" i="11" l="1"/>
  <c r="P24" i="11"/>
  <c r="L27" i="12"/>
  <c r="M27" i="12"/>
  <c r="N27" i="12"/>
  <c r="L20" i="12"/>
  <c r="M20" i="12"/>
  <c r="N20" i="12"/>
  <c r="L96" i="9"/>
  <c r="M96" i="9"/>
  <c r="L26" i="9"/>
  <c r="M26" i="9"/>
  <c r="N26" i="9"/>
  <c r="M117" i="10"/>
  <c r="F12" i="15" s="1"/>
  <c r="N117" i="10"/>
  <c r="O117" i="10"/>
  <c r="M28" i="10"/>
  <c r="N28" i="10"/>
  <c r="O28" i="10"/>
  <c r="O58" i="7"/>
  <c r="P58" i="7"/>
  <c r="O27" i="7"/>
  <c r="L25" i="7"/>
  <c r="M25" i="7"/>
  <c r="N25" i="7"/>
  <c r="H32" i="8"/>
  <c r="L25" i="6"/>
  <c r="M25" i="6"/>
  <c r="N25" i="6"/>
  <c r="L73" i="5"/>
  <c r="F6" i="15" s="1"/>
  <c r="M73" i="5"/>
  <c r="N73" i="5"/>
  <c r="O73" i="5"/>
  <c r="P73" i="5"/>
  <c r="Q73" i="5"/>
  <c r="R73" i="5"/>
  <c r="S73" i="5"/>
  <c r="T73" i="5"/>
  <c r="U73" i="5"/>
  <c r="O35" i="5"/>
  <c r="P35" i="5"/>
  <c r="Q35" i="5"/>
  <c r="R35" i="5"/>
  <c r="S35" i="5"/>
  <c r="T35" i="5"/>
  <c r="U35" i="5"/>
  <c r="L27" i="5"/>
  <c r="M27" i="5"/>
  <c r="N27" i="5"/>
  <c r="O27" i="5"/>
  <c r="O28" i="5" s="1"/>
  <c r="P27" i="5"/>
  <c r="P28" i="5" s="1"/>
  <c r="S27" i="5"/>
  <c r="S28" i="5" s="1"/>
  <c r="T27" i="5"/>
  <c r="T28" i="5" s="1"/>
  <c r="U27" i="5"/>
  <c r="U28" i="5" s="1"/>
  <c r="L28" i="4"/>
  <c r="M28" i="4"/>
  <c r="N28" i="4"/>
  <c r="L21" i="4"/>
  <c r="M21" i="4"/>
  <c r="N21" i="4"/>
  <c r="L21" i="3"/>
  <c r="M21" i="3"/>
  <c r="N21" i="3"/>
  <c r="L15" i="3"/>
  <c r="M15" i="3"/>
  <c r="N15" i="3"/>
  <c r="K23" i="2"/>
  <c r="L23" i="2"/>
  <c r="M23" i="2"/>
  <c r="K17" i="2"/>
  <c r="L17" i="2"/>
  <c r="M17" i="2"/>
  <c r="K28" i="1"/>
  <c r="K29" i="1" s="1"/>
  <c r="L28" i="1"/>
  <c r="M28" i="1"/>
  <c r="M21" i="1"/>
  <c r="F7" i="15"/>
  <c r="M68" i="8"/>
  <c r="J297" i="28" s="1"/>
  <c r="M70" i="8"/>
  <c r="M69" i="8"/>
  <c r="J276" i="28" s="1"/>
  <c r="K24" i="2" l="1"/>
  <c r="N70" i="8"/>
  <c r="K277" i="28" s="1"/>
  <c r="J277" i="28"/>
  <c r="J278" i="28" s="1"/>
  <c r="N68" i="8"/>
  <c r="K297" i="28" s="1"/>
  <c r="M29" i="12"/>
  <c r="M36" i="12" s="1"/>
  <c r="L29" i="12"/>
  <c r="L36" i="12" s="1"/>
  <c r="N29" i="12"/>
  <c r="N36" i="12" s="1"/>
  <c r="M24" i="2"/>
  <c r="M32" i="2" s="1"/>
  <c r="M29" i="1"/>
  <c r="M42" i="1" s="1"/>
  <c r="L29" i="1"/>
  <c r="L42" i="1" s="1"/>
  <c r="N69" i="8"/>
  <c r="K276" i="28" s="1"/>
  <c r="L24" i="2"/>
  <c r="L32" i="2" s="1"/>
  <c r="L30" i="4"/>
  <c r="N30" i="4"/>
  <c r="N41" i="4" s="1"/>
  <c r="M30" i="4"/>
  <c r="M41" i="4" s="1"/>
  <c r="M23" i="3"/>
  <c r="M33" i="3" s="1"/>
  <c r="N23" i="3"/>
  <c r="N33" i="3" s="1"/>
  <c r="L23" i="3"/>
  <c r="M55" i="9"/>
  <c r="H67" i="11"/>
  <c r="J67" i="11"/>
  <c r="H52" i="12"/>
  <c r="J52" i="12"/>
  <c r="J87" i="9"/>
  <c r="L87" i="9"/>
  <c r="F10" i="15" s="1"/>
  <c r="M87" i="9"/>
  <c r="J58" i="7"/>
  <c r="L73" i="8"/>
  <c r="M73" i="8"/>
  <c r="O51" i="6"/>
  <c r="P51" i="6"/>
  <c r="Q51" i="6"/>
  <c r="J93" i="4"/>
  <c r="H49" i="6"/>
  <c r="J49" i="6"/>
  <c r="H43" i="3"/>
  <c r="J43" i="3"/>
  <c r="G43" i="3"/>
  <c r="G39" i="2"/>
  <c r="I39" i="2"/>
  <c r="G59" i="1"/>
  <c r="I59" i="1"/>
  <c r="F59" i="1"/>
  <c r="K278" i="28" l="1"/>
  <c r="L41" i="4"/>
  <c r="L33" i="3"/>
  <c r="K32" i="2"/>
  <c r="B2" i="15"/>
  <c r="N55" i="9"/>
  <c r="K160" i="28" s="1"/>
  <c r="J160" i="28"/>
  <c r="B13" i="15"/>
  <c r="B3" i="15"/>
  <c r="M57" i="9"/>
  <c r="J165" i="28" s="1"/>
  <c r="K42" i="1"/>
  <c r="N73" i="8"/>
  <c r="B4" i="15"/>
  <c r="L79" i="5"/>
  <c r="M79" i="5"/>
  <c r="N79" i="5"/>
  <c r="N89" i="11"/>
  <c r="O89" i="11"/>
  <c r="P89" i="11"/>
  <c r="K165" i="28" l="1"/>
  <c r="G29" i="3" l="1"/>
  <c r="J46" i="8"/>
  <c r="E130" i="28" s="1"/>
  <c r="J42" i="8"/>
  <c r="E77" i="28" s="1"/>
  <c r="J8" i="4"/>
  <c r="J10" i="5"/>
  <c r="J7" i="5"/>
  <c r="I11" i="2"/>
  <c r="I10" i="2"/>
  <c r="J10" i="2" s="1"/>
  <c r="I11" i="1"/>
  <c r="E250" i="28" l="1"/>
  <c r="J25" i="8"/>
  <c r="E34" i="28" s="1"/>
  <c r="J28" i="8"/>
  <c r="E37" i="28" s="1"/>
  <c r="J27" i="8"/>
  <c r="E36" i="28" s="1"/>
  <c r="J8" i="8"/>
  <c r="J10" i="11"/>
  <c r="E15" i="28" s="1"/>
  <c r="J11" i="11"/>
  <c r="E20" i="28" s="1"/>
  <c r="J7" i="11"/>
  <c r="H38" i="4"/>
  <c r="K37" i="4"/>
  <c r="L37" i="4" s="1"/>
  <c r="M37" i="4" s="1"/>
  <c r="N37" i="4" s="1"/>
  <c r="H39" i="10"/>
  <c r="G39" i="10"/>
  <c r="J32" i="11"/>
  <c r="G32" i="11"/>
  <c r="H32" i="11"/>
  <c r="G34" i="12"/>
  <c r="H39" i="9"/>
  <c r="I39" i="10"/>
  <c r="J40" i="8"/>
  <c r="J34" i="6"/>
  <c r="H34" i="6"/>
  <c r="G34" i="6"/>
  <c r="G35" i="5"/>
  <c r="H35" i="5"/>
  <c r="J35" i="5"/>
  <c r="G38" i="4"/>
  <c r="H30" i="3"/>
  <c r="J30" i="3"/>
  <c r="F29" i="2"/>
  <c r="G29" i="2"/>
  <c r="I29" i="2"/>
  <c r="F38" i="1"/>
  <c r="G38" i="1"/>
  <c r="I38" i="1"/>
  <c r="E22" i="28" l="1"/>
  <c r="E40" i="28"/>
  <c r="J32" i="8"/>
  <c r="J36" i="4" l="1"/>
  <c r="J35" i="9"/>
  <c r="J39" i="9" s="1"/>
  <c r="L38" i="10"/>
  <c r="M38" i="10" s="1"/>
  <c r="K33" i="12"/>
  <c r="L33" i="12" s="1"/>
  <c r="K32" i="12"/>
  <c r="I32" i="12"/>
  <c r="I33" i="12"/>
  <c r="K30" i="11"/>
  <c r="N30" i="11" s="1"/>
  <c r="O30" i="11" s="1"/>
  <c r="P30" i="11" s="1"/>
  <c r="K31" i="11"/>
  <c r="N31" i="11" s="1"/>
  <c r="O31" i="11" s="1"/>
  <c r="P31" i="11" s="1"/>
  <c r="I30" i="11"/>
  <c r="I31" i="11"/>
  <c r="J38" i="10"/>
  <c r="H34" i="12"/>
  <c r="J34" i="12"/>
  <c r="I78" i="5"/>
  <c r="D288" i="28" s="1"/>
  <c r="I86" i="11"/>
  <c r="D284" i="28" s="1"/>
  <c r="I87" i="11"/>
  <c r="D286" i="28" s="1"/>
  <c r="I85" i="11"/>
  <c r="D285" i="28" s="1"/>
  <c r="K18" i="10"/>
  <c r="M33" i="12" l="1"/>
  <c r="L34" i="12"/>
  <c r="G13" i="15" s="1"/>
  <c r="J38" i="4"/>
  <c r="E62" i="28"/>
  <c r="N38" i="10"/>
  <c r="H40" i="8"/>
  <c r="H35" i="7"/>
  <c r="J35" i="7"/>
  <c r="K39" i="10"/>
  <c r="N33" i="12" l="1"/>
  <c r="N34" i="12" s="1"/>
  <c r="M34" i="12"/>
  <c r="E67" i="28"/>
  <c r="F62" i="28"/>
  <c r="H62" i="28" s="1"/>
  <c r="O38" i="10"/>
  <c r="K10" i="8"/>
  <c r="K11" i="8"/>
  <c r="J20" i="3"/>
  <c r="E53" i="28" s="1"/>
  <c r="E54" i="28" s="1"/>
  <c r="R9" i="4" l="1"/>
  <c r="R10" i="4"/>
  <c r="R11" i="4"/>
  <c r="R12" i="4"/>
  <c r="R13" i="4"/>
  <c r="R14" i="4"/>
  <c r="R15" i="4"/>
  <c r="R16" i="4"/>
  <c r="R17" i="4"/>
  <c r="R18" i="4"/>
  <c r="R19" i="4"/>
  <c r="R20" i="4"/>
  <c r="R22" i="4"/>
  <c r="R23" i="4"/>
  <c r="R24" i="4"/>
  <c r="R25" i="4"/>
  <c r="R26" i="4"/>
  <c r="R27" i="4"/>
  <c r="R8" i="4"/>
  <c r="J17" i="4"/>
  <c r="E26" i="28" s="1"/>
  <c r="H8" i="8"/>
  <c r="H9" i="8"/>
  <c r="C23" i="28" s="1"/>
  <c r="J113" i="10"/>
  <c r="D265" i="28" s="1"/>
  <c r="J114" i="10"/>
  <c r="J112" i="10"/>
  <c r="D262" i="28" s="1"/>
  <c r="I86" i="9" l="1"/>
  <c r="G51" i="9"/>
  <c r="K79" i="4" l="1"/>
  <c r="F163" i="28" s="1"/>
  <c r="H163" i="28" s="1"/>
  <c r="I79" i="4"/>
  <c r="D163" i="28" s="1"/>
  <c r="I45" i="4"/>
  <c r="D84" i="28" s="1"/>
  <c r="H78" i="4"/>
  <c r="H77" i="4"/>
  <c r="C161" i="28" s="1"/>
  <c r="H11" i="4"/>
  <c r="H9" i="4"/>
  <c r="J9" i="4" s="1"/>
  <c r="E27" i="28" s="1"/>
  <c r="E31" i="28" s="1"/>
  <c r="E42" i="28" s="1"/>
  <c r="E56" i="28" s="1"/>
  <c r="I13" i="10"/>
  <c r="I12" i="10"/>
  <c r="H81" i="4"/>
  <c r="C173" i="28" s="1"/>
  <c r="H43" i="9"/>
  <c r="H64" i="9"/>
  <c r="H80" i="9"/>
  <c r="H87" i="9" s="1"/>
  <c r="H55" i="9"/>
  <c r="I53" i="10"/>
  <c r="C96" i="28" s="1"/>
  <c r="L18" i="10"/>
  <c r="M18" i="10" s="1"/>
  <c r="P14" i="7"/>
  <c r="P19" i="7"/>
  <c r="P20" i="7"/>
  <c r="P21" i="7"/>
  <c r="P22" i="7"/>
  <c r="P23" i="7"/>
  <c r="P24" i="7"/>
  <c r="P9" i="7"/>
  <c r="P9" i="6"/>
  <c r="P10" i="6"/>
  <c r="P11" i="6"/>
  <c r="P12" i="6"/>
  <c r="P13" i="6"/>
  <c r="P14" i="6"/>
  <c r="P15" i="6"/>
  <c r="P16" i="6"/>
  <c r="P17" i="6"/>
  <c r="P19" i="6"/>
  <c r="P20" i="6"/>
  <c r="P21" i="6"/>
  <c r="P22" i="6"/>
  <c r="P23" i="6"/>
  <c r="P24" i="6"/>
  <c r="P8" i="6"/>
  <c r="Q8" i="5"/>
  <c r="R8" i="5" s="1"/>
  <c r="Q9" i="5"/>
  <c r="R9" i="5" s="1"/>
  <c r="Q10" i="5"/>
  <c r="Q11" i="5"/>
  <c r="Q12" i="5"/>
  <c r="R12" i="5" s="1"/>
  <c r="Q13" i="5"/>
  <c r="R13" i="5" s="1"/>
  <c r="Q14" i="5"/>
  <c r="R14" i="5" s="1"/>
  <c r="Q15" i="5"/>
  <c r="R15" i="5" s="1"/>
  <c r="Q16" i="5"/>
  <c r="R16" i="5" s="1"/>
  <c r="Q17" i="5"/>
  <c r="Q20" i="5"/>
  <c r="R20" i="5" s="1"/>
  <c r="Q21" i="5"/>
  <c r="R21" i="5" s="1"/>
  <c r="Q22" i="5"/>
  <c r="R22" i="5" s="1"/>
  <c r="Q23" i="5"/>
  <c r="Q24" i="5"/>
  <c r="Q25" i="5"/>
  <c r="R25" i="5" s="1"/>
  <c r="Q26" i="5"/>
  <c r="R26" i="5" s="1"/>
  <c r="Q7" i="5"/>
  <c r="P9" i="4"/>
  <c r="P10" i="4"/>
  <c r="P11" i="4"/>
  <c r="P12" i="4"/>
  <c r="P13" i="4"/>
  <c r="P14" i="4"/>
  <c r="P15" i="4"/>
  <c r="P16" i="4"/>
  <c r="P17" i="4"/>
  <c r="P18" i="4"/>
  <c r="P19" i="4"/>
  <c r="P20" i="4"/>
  <c r="P22" i="4"/>
  <c r="P23" i="4"/>
  <c r="P24" i="4"/>
  <c r="P25" i="4"/>
  <c r="P26" i="4"/>
  <c r="P27" i="4"/>
  <c r="P8" i="4"/>
  <c r="I82" i="9"/>
  <c r="I83" i="9"/>
  <c r="I84" i="9"/>
  <c r="I85" i="9"/>
  <c r="I27" i="10"/>
  <c r="I26" i="10"/>
  <c r="I25" i="10"/>
  <c r="I24" i="10"/>
  <c r="I17" i="10"/>
  <c r="I16" i="10"/>
  <c r="C17" i="28" s="1"/>
  <c r="I14" i="10"/>
  <c r="I9" i="10"/>
  <c r="H38" i="7"/>
  <c r="H58" i="7" s="1"/>
  <c r="H24" i="7"/>
  <c r="H23" i="7"/>
  <c r="H22" i="7"/>
  <c r="H21" i="7"/>
  <c r="H14" i="7"/>
  <c r="H12" i="7"/>
  <c r="H11" i="7"/>
  <c r="H10" i="7"/>
  <c r="H9" i="7"/>
  <c r="I31" i="8"/>
  <c r="C21" i="28" l="1"/>
  <c r="C37" i="28"/>
  <c r="C22" i="28"/>
  <c r="R17" i="5"/>
  <c r="Q19" i="5"/>
  <c r="C20" i="28"/>
  <c r="C34" i="28"/>
  <c r="C35" i="28"/>
  <c r="C36" i="28"/>
  <c r="N18" i="10"/>
  <c r="C27" i="28"/>
  <c r="C15" i="28"/>
  <c r="E272" i="28"/>
  <c r="E311" i="28" s="1"/>
  <c r="E254" i="28"/>
  <c r="R23" i="5"/>
  <c r="Q27" i="5"/>
  <c r="H93" i="4"/>
  <c r="H46" i="9"/>
  <c r="H11" i="3"/>
  <c r="K86" i="11"/>
  <c r="F284" i="28" s="1"/>
  <c r="H284" i="28" s="1"/>
  <c r="K87" i="11"/>
  <c r="F286" i="28" s="1"/>
  <c r="H286" i="28" s="1"/>
  <c r="K85" i="11"/>
  <c r="F285" i="28" s="1"/>
  <c r="H285" i="28" s="1"/>
  <c r="K53" i="11"/>
  <c r="M53" i="11" s="1"/>
  <c r="K40" i="11"/>
  <c r="M40" i="11" s="1"/>
  <c r="K51" i="11"/>
  <c r="M51" i="11" s="1"/>
  <c r="K35" i="11"/>
  <c r="K42" i="11"/>
  <c r="M42" i="11" s="1"/>
  <c r="K43" i="11"/>
  <c r="M43" i="11" s="1"/>
  <c r="K44" i="11"/>
  <c r="K49" i="11"/>
  <c r="M49" i="11" s="1"/>
  <c r="K50" i="11"/>
  <c r="M50" i="11" s="1"/>
  <c r="K52" i="11"/>
  <c r="K45" i="11"/>
  <c r="K36" i="11"/>
  <c r="K41" i="11"/>
  <c r="M41" i="11" s="1"/>
  <c r="K47" i="11"/>
  <c r="K39" i="11"/>
  <c r="M39" i="11" s="1"/>
  <c r="K37" i="11"/>
  <c r="M37" i="11" s="1"/>
  <c r="K46" i="11"/>
  <c r="K38" i="11"/>
  <c r="K29" i="11"/>
  <c r="N29" i="11" s="1"/>
  <c r="K21" i="11"/>
  <c r="M21" i="11" s="1"/>
  <c r="K23" i="11"/>
  <c r="M23" i="11" s="1"/>
  <c r="K20" i="11"/>
  <c r="M20" i="11" s="1"/>
  <c r="K8" i="11"/>
  <c r="M8" i="11" s="1"/>
  <c r="K9" i="11"/>
  <c r="K12" i="11"/>
  <c r="M12" i="11" s="1"/>
  <c r="K13" i="11"/>
  <c r="M13" i="11" s="1"/>
  <c r="K14" i="11"/>
  <c r="M14" i="11" s="1"/>
  <c r="K15" i="11"/>
  <c r="M15" i="11" s="1"/>
  <c r="K16" i="11"/>
  <c r="M16" i="11" s="1"/>
  <c r="K51" i="12"/>
  <c r="K39" i="12"/>
  <c r="K49" i="12"/>
  <c r="K44" i="12"/>
  <c r="L44" i="12" s="1"/>
  <c r="K47" i="12"/>
  <c r="K48" i="12"/>
  <c r="K46" i="12"/>
  <c r="K50" i="12"/>
  <c r="L50" i="12" s="1"/>
  <c r="K45" i="12"/>
  <c r="K43" i="12"/>
  <c r="K31" i="12"/>
  <c r="K24" i="12"/>
  <c r="K25" i="12"/>
  <c r="K26" i="12"/>
  <c r="K23" i="12"/>
  <c r="K9" i="12"/>
  <c r="K10" i="12"/>
  <c r="K11" i="12"/>
  <c r="K12" i="12"/>
  <c r="K13" i="12"/>
  <c r="K14" i="12"/>
  <c r="K15" i="12"/>
  <c r="K16" i="12"/>
  <c r="K17" i="12"/>
  <c r="K18" i="12"/>
  <c r="K19" i="12"/>
  <c r="K8" i="12"/>
  <c r="K94" i="9"/>
  <c r="K95" i="9"/>
  <c r="K82" i="9"/>
  <c r="K83" i="9"/>
  <c r="K84" i="9"/>
  <c r="K85" i="9"/>
  <c r="K73" i="9"/>
  <c r="F229" i="28" s="1"/>
  <c r="H229" i="28" s="1"/>
  <c r="K57" i="9"/>
  <c r="K51" i="9"/>
  <c r="K54" i="9"/>
  <c r="F140" i="28" s="1"/>
  <c r="H140" i="28" s="1"/>
  <c r="K52" i="9"/>
  <c r="F135" i="28" s="1"/>
  <c r="H135" i="28" s="1"/>
  <c r="K47" i="9"/>
  <c r="F106" i="28" s="1"/>
  <c r="H106" i="28" s="1"/>
  <c r="K60" i="9"/>
  <c r="F185" i="28" s="1"/>
  <c r="H185" i="28" s="1"/>
  <c r="K56" i="9"/>
  <c r="K53" i="9"/>
  <c r="F138" i="28" s="1"/>
  <c r="H138" i="28" s="1"/>
  <c r="K50" i="9"/>
  <c r="K71" i="9"/>
  <c r="L71" i="9" s="1"/>
  <c r="M71" i="9" s="1"/>
  <c r="N71" i="9" s="1"/>
  <c r="K72" i="9"/>
  <c r="K74" i="9"/>
  <c r="F230" i="28" s="1"/>
  <c r="H230" i="28" s="1"/>
  <c r="K45" i="9"/>
  <c r="F94" i="28" s="1"/>
  <c r="H94" i="28" s="1"/>
  <c r="K46" i="9"/>
  <c r="F95" i="28" s="1"/>
  <c r="H95" i="28" s="1"/>
  <c r="K63" i="9"/>
  <c r="K55" i="9"/>
  <c r="K58" i="9"/>
  <c r="F174" i="28" s="1"/>
  <c r="H174" i="28" s="1"/>
  <c r="K43" i="9"/>
  <c r="K64" i="9"/>
  <c r="K69" i="9"/>
  <c r="K65" i="9"/>
  <c r="K66" i="9"/>
  <c r="K67" i="9"/>
  <c r="K68" i="9"/>
  <c r="K70" i="9"/>
  <c r="K44" i="9"/>
  <c r="K59" i="9"/>
  <c r="F175" i="28" s="1"/>
  <c r="H175" i="28" s="1"/>
  <c r="K33" i="9"/>
  <c r="L33" i="9" s="1"/>
  <c r="M33" i="9" s="1"/>
  <c r="N33" i="9" s="1"/>
  <c r="K34" i="9"/>
  <c r="L34" i="9" s="1"/>
  <c r="M34" i="9" s="1"/>
  <c r="N34" i="9" s="1"/>
  <c r="K35" i="9"/>
  <c r="L35" i="9" s="1"/>
  <c r="M35" i="9" s="1"/>
  <c r="N35" i="9" s="1"/>
  <c r="K36" i="9"/>
  <c r="L36" i="9" s="1"/>
  <c r="M36" i="9" s="1"/>
  <c r="N36" i="9" s="1"/>
  <c r="K37" i="9"/>
  <c r="L37" i="9" s="1"/>
  <c r="M37" i="9" s="1"/>
  <c r="N37" i="9" s="1"/>
  <c r="K32" i="9"/>
  <c r="L32" i="9" s="1"/>
  <c r="K6" i="9"/>
  <c r="K7" i="9"/>
  <c r="K10" i="9"/>
  <c r="K12" i="9"/>
  <c r="K14" i="9"/>
  <c r="K15" i="9"/>
  <c r="K16" i="9"/>
  <c r="K17" i="9"/>
  <c r="K19" i="9"/>
  <c r="L113" i="10"/>
  <c r="F265" i="28" s="1"/>
  <c r="H265" i="28" s="1"/>
  <c r="L114" i="10"/>
  <c r="L112" i="10"/>
  <c r="L47" i="10"/>
  <c r="F78" i="28" s="1"/>
  <c r="H78" i="28" s="1"/>
  <c r="L59" i="10"/>
  <c r="L64" i="10"/>
  <c r="F139" i="28" s="1"/>
  <c r="H139" i="28" s="1"/>
  <c r="L101" i="10"/>
  <c r="L67" i="10"/>
  <c r="L58" i="10"/>
  <c r="F102" i="28" s="1"/>
  <c r="H102" i="28" s="1"/>
  <c r="L102" i="10"/>
  <c r="L66" i="10"/>
  <c r="F159" i="28" s="1"/>
  <c r="H159" i="28" s="1"/>
  <c r="L76" i="10"/>
  <c r="F187" i="28" s="1"/>
  <c r="H187" i="28" s="1"/>
  <c r="L96" i="10"/>
  <c r="L99" i="10"/>
  <c r="M99" i="10" s="1"/>
  <c r="L100" i="10"/>
  <c r="L98" i="10"/>
  <c r="L97" i="10"/>
  <c r="L88" i="10"/>
  <c r="L83" i="10"/>
  <c r="L78" i="10"/>
  <c r="L86" i="10"/>
  <c r="L80" i="10"/>
  <c r="F196" i="28" s="1"/>
  <c r="H196" i="28" s="1"/>
  <c r="L89" i="10"/>
  <c r="L84" i="10"/>
  <c r="L79" i="10"/>
  <c r="L87" i="10"/>
  <c r="L81" i="10"/>
  <c r="L82" i="10"/>
  <c r="L85" i="10"/>
  <c r="L92" i="10"/>
  <c r="F202" i="28" s="1"/>
  <c r="H202" i="28" s="1"/>
  <c r="L91" i="10"/>
  <c r="L94" i="10"/>
  <c r="F203" i="28" s="1"/>
  <c r="H203" i="28" s="1"/>
  <c r="L93" i="10"/>
  <c r="L57" i="10"/>
  <c r="L62" i="10"/>
  <c r="F128" i="28" s="1"/>
  <c r="H128" i="28" s="1"/>
  <c r="L63" i="10"/>
  <c r="F129" i="28" s="1"/>
  <c r="H129" i="28" s="1"/>
  <c r="L44" i="10"/>
  <c r="F75" i="28"/>
  <c r="H75" i="28" s="1"/>
  <c r="L65" i="10"/>
  <c r="F157" i="28" s="1"/>
  <c r="H157" i="28" s="1"/>
  <c r="L72" i="10"/>
  <c r="L71" i="10"/>
  <c r="F74" i="28" s="1"/>
  <c r="H74" i="28" s="1"/>
  <c r="L43" i="10"/>
  <c r="L53" i="10"/>
  <c r="L35" i="10"/>
  <c r="M35" i="10" s="1"/>
  <c r="L36" i="10"/>
  <c r="M36" i="10" s="1"/>
  <c r="L37" i="10"/>
  <c r="M37" i="10" s="1"/>
  <c r="L34" i="10"/>
  <c r="M34" i="10" s="1"/>
  <c r="L26" i="10"/>
  <c r="L27" i="10"/>
  <c r="L24" i="10"/>
  <c r="L10" i="10"/>
  <c r="L11" i="10"/>
  <c r="L12" i="10"/>
  <c r="L16" i="10"/>
  <c r="L17" i="10"/>
  <c r="L19" i="10"/>
  <c r="M19" i="10" s="1"/>
  <c r="L20" i="10"/>
  <c r="L21" i="10"/>
  <c r="K55" i="7"/>
  <c r="L55" i="7" s="1"/>
  <c r="K39" i="7"/>
  <c r="K53" i="7"/>
  <c r="K56" i="7"/>
  <c r="K50" i="7"/>
  <c r="L50" i="7" s="1"/>
  <c r="K51" i="7"/>
  <c r="L51" i="7" s="1"/>
  <c r="K52" i="7"/>
  <c r="K54" i="7"/>
  <c r="L54" i="7" s="1"/>
  <c r="K49" i="7"/>
  <c r="F213" i="28" s="1"/>
  <c r="H213" i="28" s="1"/>
  <c r="K43" i="7"/>
  <c r="K42" i="7"/>
  <c r="K45" i="7"/>
  <c r="K40" i="7"/>
  <c r="K46" i="7"/>
  <c r="K44" i="7"/>
  <c r="K41" i="7"/>
  <c r="F192" i="28" s="1"/>
  <c r="H192" i="28" s="1"/>
  <c r="K33" i="7"/>
  <c r="L33" i="7" s="1"/>
  <c r="M33" i="7" s="1"/>
  <c r="N33" i="7" s="1"/>
  <c r="K34" i="7"/>
  <c r="L34" i="7" s="1"/>
  <c r="M34" i="7" s="1"/>
  <c r="N34" i="7" s="1"/>
  <c r="K32" i="7"/>
  <c r="L32" i="7" s="1"/>
  <c r="K22" i="7"/>
  <c r="K23" i="7"/>
  <c r="K24" i="7"/>
  <c r="K21" i="7"/>
  <c r="K10" i="7"/>
  <c r="K11" i="7"/>
  <c r="K12" i="7"/>
  <c r="K13" i="7"/>
  <c r="K14" i="7"/>
  <c r="K15" i="7"/>
  <c r="L15" i="7" s="1"/>
  <c r="K16" i="7"/>
  <c r="L16" i="7" s="1"/>
  <c r="M16" i="7" s="1"/>
  <c r="N16" i="7" s="1"/>
  <c r="K17" i="7"/>
  <c r="K9" i="7"/>
  <c r="K68" i="8"/>
  <c r="F297" i="28" s="1"/>
  <c r="H297" i="28" s="1"/>
  <c r="K69" i="8"/>
  <c r="K70" i="8"/>
  <c r="F277" i="28" s="1"/>
  <c r="K71" i="8"/>
  <c r="F283" i="28" s="1"/>
  <c r="H283" i="28" s="1"/>
  <c r="K72" i="8"/>
  <c r="K67" i="8"/>
  <c r="K31" i="8"/>
  <c r="L31" i="8" s="1"/>
  <c r="M31" i="8" s="1"/>
  <c r="N31" i="8" s="1"/>
  <c r="K55" i="8"/>
  <c r="L55" i="8" s="1"/>
  <c r="K43" i="8"/>
  <c r="F79" i="28" s="1"/>
  <c r="H79" i="28" s="1"/>
  <c r="K46" i="8"/>
  <c r="F130" i="28" s="1"/>
  <c r="H130" i="28" s="1"/>
  <c r="K44" i="8"/>
  <c r="K45" i="8"/>
  <c r="K48" i="8"/>
  <c r="F150" i="28" s="1"/>
  <c r="H150" i="28" s="1"/>
  <c r="K9" i="8"/>
  <c r="F23" i="28" s="1"/>
  <c r="H23" i="28" s="1"/>
  <c r="K29" i="8"/>
  <c r="K51" i="8"/>
  <c r="K52" i="8"/>
  <c r="K53" i="8"/>
  <c r="K54" i="8"/>
  <c r="L54" i="8" s="1"/>
  <c r="K30" i="8"/>
  <c r="L30" i="8" s="1"/>
  <c r="I37" i="28" s="1"/>
  <c r="I40" i="28" s="1"/>
  <c r="K56" i="8"/>
  <c r="K49" i="8"/>
  <c r="F151" i="28" s="1"/>
  <c r="H151" i="28" s="1"/>
  <c r="K42" i="8"/>
  <c r="F77" i="28" s="1"/>
  <c r="H77" i="28" s="1"/>
  <c r="K38" i="8"/>
  <c r="L38" i="8" s="1"/>
  <c r="M38" i="8" s="1"/>
  <c r="N38" i="8" s="1"/>
  <c r="K39" i="8"/>
  <c r="L39" i="8" s="1"/>
  <c r="M39" i="8" s="1"/>
  <c r="N39" i="8" s="1"/>
  <c r="K37" i="8"/>
  <c r="L37" i="8" s="1"/>
  <c r="K28" i="8"/>
  <c r="K25" i="8"/>
  <c r="K14" i="8"/>
  <c r="K15" i="8"/>
  <c r="K16" i="8"/>
  <c r="K18" i="8"/>
  <c r="L18" i="8" s="1"/>
  <c r="K20" i="8"/>
  <c r="L20" i="8" s="1"/>
  <c r="M20" i="8" s="1"/>
  <c r="N20" i="8" s="1"/>
  <c r="K48" i="6"/>
  <c r="L48" i="6" s="1"/>
  <c r="K45" i="6"/>
  <c r="M45" i="6" s="1"/>
  <c r="N45" i="6" s="1"/>
  <c r="K46" i="6"/>
  <c r="K47" i="6"/>
  <c r="L47" i="6" s="1"/>
  <c r="K39" i="6"/>
  <c r="K37" i="6"/>
  <c r="F111" i="28" s="1"/>
  <c r="H111" i="28" s="1"/>
  <c r="K42" i="6"/>
  <c r="F158" i="28" s="1"/>
  <c r="H158" i="28" s="1"/>
  <c r="K40" i="6"/>
  <c r="F110" i="28" s="1"/>
  <c r="H110" i="28" s="1"/>
  <c r="K32" i="6"/>
  <c r="K33" i="6"/>
  <c r="K31" i="6"/>
  <c r="K22" i="6"/>
  <c r="K23" i="6"/>
  <c r="K24" i="6"/>
  <c r="K21" i="6"/>
  <c r="K9" i="6"/>
  <c r="K10" i="6"/>
  <c r="K11" i="6"/>
  <c r="K12" i="6"/>
  <c r="K13" i="6"/>
  <c r="K14" i="6"/>
  <c r="K15" i="6"/>
  <c r="L15" i="6" s="1"/>
  <c r="K16" i="6"/>
  <c r="L16" i="6" s="1"/>
  <c r="M16" i="6" s="1"/>
  <c r="N16" i="6" s="1"/>
  <c r="K17" i="6"/>
  <c r="K8" i="6"/>
  <c r="H79" i="5"/>
  <c r="I79" i="5"/>
  <c r="J79" i="5"/>
  <c r="K78" i="5"/>
  <c r="F288" i="28" s="1"/>
  <c r="H288" i="28" s="1"/>
  <c r="K77" i="5"/>
  <c r="K71" i="5"/>
  <c r="K72" i="5"/>
  <c r="K70" i="5"/>
  <c r="F267" i="28" s="1"/>
  <c r="H267" i="28" s="1"/>
  <c r="K60" i="5"/>
  <c r="K53" i="5"/>
  <c r="F206" i="28" s="1"/>
  <c r="H206" i="28" s="1"/>
  <c r="K52" i="5"/>
  <c r="F205" i="28" s="1"/>
  <c r="H205" i="28" s="1"/>
  <c r="K61" i="5"/>
  <c r="F124" i="28" s="1"/>
  <c r="H124" i="28" s="1"/>
  <c r="K54" i="5"/>
  <c r="F207" i="28" s="1"/>
  <c r="H207" i="28" s="1"/>
  <c r="K43" i="5"/>
  <c r="F121" i="28" s="1"/>
  <c r="H121" i="28" s="1"/>
  <c r="K44" i="5"/>
  <c r="F122" i="28" s="1"/>
  <c r="H122" i="28" s="1"/>
  <c r="K45" i="5"/>
  <c r="F123" i="28" s="1"/>
  <c r="H123" i="28" s="1"/>
  <c r="K48" i="5"/>
  <c r="F125" i="28" s="1"/>
  <c r="H125" i="28" s="1"/>
  <c r="K40" i="5"/>
  <c r="K63" i="5"/>
  <c r="L63" i="5" s="1"/>
  <c r="K55" i="5"/>
  <c r="K57" i="5"/>
  <c r="L57" i="5" s="1"/>
  <c r="M57" i="5" s="1"/>
  <c r="N57" i="5" s="1"/>
  <c r="K58" i="5"/>
  <c r="K59" i="5"/>
  <c r="L59" i="5" s="1"/>
  <c r="M59" i="5" s="1"/>
  <c r="N59" i="5" s="1"/>
  <c r="K56" i="5"/>
  <c r="L56" i="5" s="1"/>
  <c r="M56" i="5" s="1"/>
  <c r="N56" i="5" s="1"/>
  <c r="K51" i="5"/>
  <c r="F204" i="28" s="1"/>
  <c r="H204" i="28" s="1"/>
  <c r="K49" i="5"/>
  <c r="F178" i="28" s="1"/>
  <c r="H178" i="28" s="1"/>
  <c r="K50" i="5"/>
  <c r="K46" i="5"/>
  <c r="F131" i="28" s="1"/>
  <c r="H131" i="28" s="1"/>
  <c r="K42" i="5"/>
  <c r="L42" i="5" s="1"/>
  <c r="M42" i="5" s="1"/>
  <c r="K32" i="5"/>
  <c r="L32" i="5" s="1"/>
  <c r="M32" i="5" s="1"/>
  <c r="N32" i="5" s="1"/>
  <c r="K33" i="5"/>
  <c r="L33" i="5" s="1"/>
  <c r="M33" i="5" s="1"/>
  <c r="N33" i="5" s="1"/>
  <c r="K31" i="5"/>
  <c r="L31" i="5" s="1"/>
  <c r="K25" i="5"/>
  <c r="K26" i="5"/>
  <c r="K23" i="5"/>
  <c r="K8" i="5"/>
  <c r="K9" i="5"/>
  <c r="K12" i="5"/>
  <c r="K13" i="5"/>
  <c r="K14" i="5"/>
  <c r="K15" i="5"/>
  <c r="L15" i="5" s="1"/>
  <c r="L19" i="5" s="1"/>
  <c r="K16" i="5"/>
  <c r="L16" i="5" s="1"/>
  <c r="M16" i="5" s="1"/>
  <c r="N16" i="5" s="1"/>
  <c r="K89" i="4"/>
  <c r="K51" i="4"/>
  <c r="F156" i="28" s="1"/>
  <c r="H156" i="28" s="1"/>
  <c r="K81" i="4"/>
  <c r="F173" i="28" s="1"/>
  <c r="H173" i="28" s="1"/>
  <c r="K82" i="4"/>
  <c r="L82" i="4" s="1"/>
  <c r="K85" i="4"/>
  <c r="K86" i="4"/>
  <c r="K84" i="4"/>
  <c r="K88" i="4"/>
  <c r="K83" i="4"/>
  <c r="K87" i="4"/>
  <c r="K78" i="4"/>
  <c r="K77" i="4"/>
  <c r="K80" i="4"/>
  <c r="F164" i="28" s="1"/>
  <c r="H164" i="28" s="1"/>
  <c r="K45" i="4"/>
  <c r="F84" i="28" s="1"/>
  <c r="H84" i="28" s="1"/>
  <c r="K69" i="4"/>
  <c r="F152" i="28" s="1"/>
  <c r="H152" i="28" s="1"/>
  <c r="K70" i="4"/>
  <c r="F153" i="28" s="1"/>
  <c r="H153" i="28" s="1"/>
  <c r="K66" i="4"/>
  <c r="F146" i="28" s="1"/>
  <c r="H146" i="28" s="1"/>
  <c r="K65" i="4"/>
  <c r="F145" i="28" s="1"/>
  <c r="H145" i="28" s="1"/>
  <c r="K67" i="4"/>
  <c r="F147" i="28" s="1"/>
  <c r="H147" i="28" s="1"/>
  <c r="K71" i="4"/>
  <c r="F154" i="28" s="1"/>
  <c r="H154" i="28" s="1"/>
  <c r="K62" i="4"/>
  <c r="F141" i="28" s="1"/>
  <c r="H141" i="28" s="1"/>
  <c r="K63" i="4"/>
  <c r="F142" i="28" s="1"/>
  <c r="H142" i="28" s="1"/>
  <c r="K64" i="4"/>
  <c r="F143" i="28" s="1"/>
  <c r="H143" i="28" s="1"/>
  <c r="K72" i="4"/>
  <c r="K73" i="4"/>
  <c r="K74" i="4"/>
  <c r="K75" i="4"/>
  <c r="L75" i="4" s="1"/>
  <c r="M75" i="4" s="1"/>
  <c r="N75" i="4" s="1"/>
  <c r="K76" i="4"/>
  <c r="L76" i="4" s="1"/>
  <c r="M76" i="4" s="1"/>
  <c r="N76" i="4" s="1"/>
  <c r="K55" i="4"/>
  <c r="L55" i="4" s="1"/>
  <c r="K54" i="4"/>
  <c r="L54" i="4" s="1"/>
  <c r="K56" i="4"/>
  <c r="L56" i="4" s="1"/>
  <c r="K58" i="4"/>
  <c r="F119" i="28" s="1"/>
  <c r="H119" i="28" s="1"/>
  <c r="K57" i="4"/>
  <c r="F118" i="28" s="1"/>
  <c r="H118" i="28" s="1"/>
  <c r="K59" i="4"/>
  <c r="F120" i="28" s="1"/>
  <c r="H120" i="28" s="1"/>
  <c r="K48" i="4"/>
  <c r="K47" i="4"/>
  <c r="K49" i="4"/>
  <c r="K92" i="4"/>
  <c r="F234" i="28" s="1"/>
  <c r="H234" i="28" s="1"/>
  <c r="K91" i="4"/>
  <c r="F233" i="28" s="1"/>
  <c r="H233" i="28" s="1"/>
  <c r="K90" i="4"/>
  <c r="F236" i="28" s="1"/>
  <c r="H236" i="28" s="1"/>
  <c r="K43" i="4"/>
  <c r="F235" i="28" s="1"/>
  <c r="H235" i="28" s="1"/>
  <c r="K50" i="4"/>
  <c r="F104" i="28" s="1"/>
  <c r="H104" i="28" s="1"/>
  <c r="K46" i="4"/>
  <c r="K35" i="4"/>
  <c r="L35" i="4" s="1"/>
  <c r="M35" i="4" s="1"/>
  <c r="N35" i="4" s="1"/>
  <c r="K36" i="4"/>
  <c r="L36" i="4" s="1"/>
  <c r="K34" i="4"/>
  <c r="L34" i="4" s="1"/>
  <c r="K25" i="4"/>
  <c r="K26" i="4"/>
  <c r="K27" i="4"/>
  <c r="K24" i="4"/>
  <c r="K9" i="4"/>
  <c r="K10" i="4"/>
  <c r="K11" i="4"/>
  <c r="K12" i="4"/>
  <c r="K13" i="4"/>
  <c r="K14" i="4"/>
  <c r="K15" i="4"/>
  <c r="K16" i="4"/>
  <c r="K17" i="4"/>
  <c r="K18" i="4"/>
  <c r="K19" i="4"/>
  <c r="K20" i="4"/>
  <c r="K8" i="4"/>
  <c r="K42" i="3"/>
  <c r="L42" i="3" s="1"/>
  <c r="K36" i="3"/>
  <c r="L36" i="3" s="1"/>
  <c r="K39" i="3"/>
  <c r="K40" i="3"/>
  <c r="L40" i="3" s="1"/>
  <c r="K34" i="3"/>
  <c r="F189" i="28" s="1"/>
  <c r="H189" i="28" s="1"/>
  <c r="K38" i="3"/>
  <c r="K41" i="3"/>
  <c r="K37" i="3"/>
  <c r="K27" i="3"/>
  <c r="L27" i="3" s="1"/>
  <c r="M27" i="3" s="1"/>
  <c r="N27" i="3" s="1"/>
  <c r="K28" i="3"/>
  <c r="L28" i="3" s="1"/>
  <c r="M28" i="3" s="1"/>
  <c r="N28" i="3" s="1"/>
  <c r="K26" i="3"/>
  <c r="L26" i="3" s="1"/>
  <c r="K19" i="3"/>
  <c r="F52" i="28" s="1"/>
  <c r="H52" i="28" s="1"/>
  <c r="K20" i="3"/>
  <c r="F53" i="28" s="1"/>
  <c r="H53" i="28" s="1"/>
  <c r="K18" i="3"/>
  <c r="F51" i="28" s="1"/>
  <c r="H51" i="28" s="1"/>
  <c r="K13" i="3"/>
  <c r="K14" i="3"/>
  <c r="F50" i="28" s="1"/>
  <c r="H50" i="28" s="1"/>
  <c r="K10" i="3"/>
  <c r="F47" i="28" s="1"/>
  <c r="H47" i="28" s="1"/>
  <c r="J38" i="2"/>
  <c r="J34" i="2"/>
  <c r="K34" i="2" s="1"/>
  <c r="J37" i="2"/>
  <c r="K37" i="2" s="1"/>
  <c r="J36" i="2"/>
  <c r="J35" i="2"/>
  <c r="J28" i="2"/>
  <c r="K28" i="2" s="1"/>
  <c r="L28" i="2" s="1"/>
  <c r="M28" i="2" s="1"/>
  <c r="J27" i="2"/>
  <c r="J21" i="2"/>
  <c r="J22" i="2"/>
  <c r="J20" i="2"/>
  <c r="J11" i="2"/>
  <c r="J13" i="2"/>
  <c r="J14" i="2"/>
  <c r="J15" i="2"/>
  <c r="J16" i="2"/>
  <c r="J48" i="1"/>
  <c r="F215" i="28" s="1"/>
  <c r="H215" i="28" s="1"/>
  <c r="J47" i="1"/>
  <c r="F214" i="28" s="1"/>
  <c r="H214" i="28" s="1"/>
  <c r="J49" i="1"/>
  <c r="F216" i="28" s="1"/>
  <c r="H216" i="28" s="1"/>
  <c r="J56" i="1"/>
  <c r="J43" i="1"/>
  <c r="F82" i="28" s="1"/>
  <c r="H82" i="28" s="1"/>
  <c r="J35" i="1"/>
  <c r="K35" i="1" s="1"/>
  <c r="L35" i="1" s="1"/>
  <c r="M35" i="1" s="1"/>
  <c r="J36" i="1"/>
  <c r="K36" i="1" s="1"/>
  <c r="L36" i="1" s="1"/>
  <c r="M36" i="1" s="1"/>
  <c r="J37" i="1"/>
  <c r="K37" i="1" s="1"/>
  <c r="L37" i="1" s="1"/>
  <c r="M37" i="1" s="1"/>
  <c r="J34" i="1"/>
  <c r="K34" i="1" s="1"/>
  <c r="J25" i="1"/>
  <c r="J26" i="1"/>
  <c r="J27" i="1"/>
  <c r="J24" i="1"/>
  <c r="J12" i="1"/>
  <c r="J13" i="1"/>
  <c r="J14" i="1"/>
  <c r="J15" i="1"/>
  <c r="J16" i="1"/>
  <c r="J17" i="1"/>
  <c r="J18" i="1"/>
  <c r="J20" i="1"/>
  <c r="J11" i="1"/>
  <c r="H89" i="11"/>
  <c r="J89" i="11"/>
  <c r="I89" i="11"/>
  <c r="I53" i="11"/>
  <c r="I40" i="11"/>
  <c r="I51" i="11"/>
  <c r="I35" i="11"/>
  <c r="D107" i="28" s="1"/>
  <c r="I42" i="11"/>
  <c r="I43" i="11"/>
  <c r="I44" i="11"/>
  <c r="D181" i="28" s="1"/>
  <c r="I48" i="11"/>
  <c r="I49" i="11"/>
  <c r="I50" i="11"/>
  <c r="I52" i="11"/>
  <c r="I45" i="11"/>
  <c r="D182" i="28" s="1"/>
  <c r="I36" i="11"/>
  <c r="D108" i="28" s="1"/>
  <c r="I41" i="11"/>
  <c r="I47" i="11"/>
  <c r="D210" i="28" s="1"/>
  <c r="I39" i="11"/>
  <c r="I37" i="11"/>
  <c r="I46" i="11"/>
  <c r="D183" i="28" s="1"/>
  <c r="I38" i="11"/>
  <c r="D136" i="28" s="1"/>
  <c r="I29" i="11"/>
  <c r="I32" i="11" s="1"/>
  <c r="I21" i="11"/>
  <c r="I23" i="11"/>
  <c r="I20" i="11"/>
  <c r="I8" i="11"/>
  <c r="I9" i="11"/>
  <c r="I12" i="11"/>
  <c r="I13" i="11"/>
  <c r="I14" i="11"/>
  <c r="I15" i="11"/>
  <c r="I16" i="11"/>
  <c r="I51" i="12"/>
  <c r="I39" i="12"/>
  <c r="I49" i="12"/>
  <c r="I44" i="12"/>
  <c r="I47" i="12"/>
  <c r="I48" i="12"/>
  <c r="I46" i="12"/>
  <c r="I50" i="12"/>
  <c r="I45" i="12"/>
  <c r="I43" i="12"/>
  <c r="I31" i="12"/>
  <c r="I34" i="12" s="1"/>
  <c r="I24" i="12"/>
  <c r="I25" i="12"/>
  <c r="I26" i="12"/>
  <c r="I23" i="12"/>
  <c r="I9" i="12"/>
  <c r="I10" i="12"/>
  <c r="I11" i="12"/>
  <c r="I12" i="12"/>
  <c r="I13" i="12"/>
  <c r="I14" i="12"/>
  <c r="I15" i="12"/>
  <c r="I16" i="12"/>
  <c r="I17" i="12"/>
  <c r="I8" i="12"/>
  <c r="I73" i="9"/>
  <c r="D229" i="28" s="1"/>
  <c r="I57" i="9"/>
  <c r="I51" i="9"/>
  <c r="D137" i="28" s="1"/>
  <c r="I54" i="9"/>
  <c r="D140" i="28" s="1"/>
  <c r="I52" i="9"/>
  <c r="D135" i="28" s="1"/>
  <c r="I47" i="9"/>
  <c r="D106" i="28" s="1"/>
  <c r="I60" i="9"/>
  <c r="D185" i="28" s="1"/>
  <c r="I56" i="9"/>
  <c r="D162" i="28" s="1"/>
  <c r="I53" i="9"/>
  <c r="D138" i="28" s="1"/>
  <c r="I50" i="9"/>
  <c r="I71" i="9"/>
  <c r="I72" i="9"/>
  <c r="I74" i="9"/>
  <c r="D230" i="28" s="1"/>
  <c r="I45" i="9"/>
  <c r="D94" i="28" s="1"/>
  <c r="I63" i="9"/>
  <c r="I55" i="9"/>
  <c r="D160" i="28" s="1"/>
  <c r="I58" i="9"/>
  <c r="D174" i="28" s="1"/>
  <c r="I43" i="9"/>
  <c r="D208" i="28" s="1"/>
  <c r="I64" i="9"/>
  <c r="D209" i="28" s="1"/>
  <c r="I69" i="9"/>
  <c r="I65" i="9"/>
  <c r="I66" i="9"/>
  <c r="I67" i="9"/>
  <c r="I68" i="9"/>
  <c r="I70" i="9"/>
  <c r="I59" i="9"/>
  <c r="D175" i="28" s="1"/>
  <c r="I34" i="9"/>
  <c r="I35" i="9"/>
  <c r="I36" i="9"/>
  <c r="I37" i="9"/>
  <c r="I33" i="9"/>
  <c r="I6" i="9"/>
  <c r="I7" i="9"/>
  <c r="I10" i="9"/>
  <c r="I12" i="9"/>
  <c r="I14" i="9"/>
  <c r="I15" i="9"/>
  <c r="I16" i="9"/>
  <c r="I17" i="9"/>
  <c r="I19" i="9"/>
  <c r="J47" i="10"/>
  <c r="D78" i="28" s="1"/>
  <c r="J59" i="10"/>
  <c r="J64" i="10"/>
  <c r="D139" i="28" s="1"/>
  <c r="J101" i="10"/>
  <c r="J67" i="10"/>
  <c r="D165" i="28" s="1"/>
  <c r="J58" i="10"/>
  <c r="D102" i="28" s="1"/>
  <c r="J102" i="10"/>
  <c r="J66" i="10"/>
  <c r="D159" i="28" s="1"/>
  <c r="J76" i="10"/>
  <c r="D187" i="28" s="1"/>
  <c r="J96" i="10"/>
  <c r="J99" i="10"/>
  <c r="J100" i="10"/>
  <c r="J98" i="10"/>
  <c r="J97" i="10"/>
  <c r="J88" i="10"/>
  <c r="J83" i="10"/>
  <c r="J78" i="10"/>
  <c r="J86" i="10"/>
  <c r="J80" i="10"/>
  <c r="D196" i="28" s="1"/>
  <c r="J89" i="10"/>
  <c r="J84" i="10"/>
  <c r="J79" i="10"/>
  <c r="J87" i="10"/>
  <c r="J81" i="10"/>
  <c r="J82" i="10"/>
  <c r="J85" i="10"/>
  <c r="J92" i="10"/>
  <c r="D202" i="28" s="1"/>
  <c r="J91" i="10"/>
  <c r="J94" i="10"/>
  <c r="D203" i="28" s="1"/>
  <c r="J93" i="10"/>
  <c r="J57" i="10"/>
  <c r="J62" i="10"/>
  <c r="D128" i="28" s="1"/>
  <c r="J63" i="10"/>
  <c r="D129" i="28" s="1"/>
  <c r="J45" i="10"/>
  <c r="J44" i="10"/>
  <c r="J46" i="10"/>
  <c r="D75" i="28" s="1"/>
  <c r="J65" i="10"/>
  <c r="D157" i="28" s="1"/>
  <c r="J72" i="10"/>
  <c r="J71" i="10"/>
  <c r="J43" i="10"/>
  <c r="J53" i="10"/>
  <c r="J35" i="10"/>
  <c r="J36" i="10"/>
  <c r="J37" i="10"/>
  <c r="J34" i="10"/>
  <c r="J26" i="10"/>
  <c r="J27" i="10"/>
  <c r="J24" i="10"/>
  <c r="J10" i="10"/>
  <c r="J11" i="10"/>
  <c r="J12" i="10"/>
  <c r="J16" i="10"/>
  <c r="J17" i="10"/>
  <c r="J18" i="10"/>
  <c r="J19" i="10"/>
  <c r="J20" i="10"/>
  <c r="J21" i="10"/>
  <c r="I55" i="7"/>
  <c r="I39" i="7"/>
  <c r="I53" i="7"/>
  <c r="I56" i="7"/>
  <c r="I50" i="7"/>
  <c r="I51" i="7"/>
  <c r="I52" i="7"/>
  <c r="I54" i="7"/>
  <c r="I49" i="7"/>
  <c r="I43" i="7"/>
  <c r="I42" i="7"/>
  <c r="I45" i="7"/>
  <c r="I40" i="7"/>
  <c r="I46" i="7"/>
  <c r="I44" i="7"/>
  <c r="I41" i="7"/>
  <c r="D192" i="28" s="1"/>
  <c r="I33" i="7"/>
  <c r="I34" i="7"/>
  <c r="I32" i="7"/>
  <c r="I22" i="7"/>
  <c r="I23" i="7"/>
  <c r="I24" i="7"/>
  <c r="I21" i="7"/>
  <c r="I10" i="7"/>
  <c r="I11" i="7"/>
  <c r="I12" i="7"/>
  <c r="I13" i="7"/>
  <c r="I14" i="7"/>
  <c r="I15" i="7"/>
  <c r="I16" i="7"/>
  <c r="I17" i="7"/>
  <c r="I9" i="7"/>
  <c r="H73" i="8"/>
  <c r="J73" i="8"/>
  <c r="I68" i="8"/>
  <c r="D297" i="28" s="1"/>
  <c r="D307" i="28" s="1"/>
  <c r="I69" i="8"/>
  <c r="D276" i="28" s="1"/>
  <c r="I70" i="8"/>
  <c r="D277" i="28" s="1"/>
  <c r="I71" i="8"/>
  <c r="D283" i="28" s="1"/>
  <c r="I72" i="8"/>
  <c r="D282" i="28" s="1"/>
  <c r="I67" i="8"/>
  <c r="I55" i="8"/>
  <c r="I43" i="8"/>
  <c r="D79" i="28" s="1"/>
  <c r="I46" i="8"/>
  <c r="D130" i="28" s="1"/>
  <c r="I44" i="8"/>
  <c r="I45" i="8"/>
  <c r="I48" i="8"/>
  <c r="D150" i="28" s="1"/>
  <c r="I9" i="8"/>
  <c r="D23" i="28" s="1"/>
  <c r="I29" i="8"/>
  <c r="I51" i="8"/>
  <c r="I52" i="8"/>
  <c r="I53" i="8"/>
  <c r="I54" i="8"/>
  <c r="I30" i="8"/>
  <c r="I56" i="8"/>
  <c r="I49" i="8"/>
  <c r="D151" i="28" s="1"/>
  <c r="I42" i="8"/>
  <c r="D77" i="28" s="1"/>
  <c r="I38" i="8"/>
  <c r="I39" i="8"/>
  <c r="I37" i="8"/>
  <c r="I28" i="8"/>
  <c r="I25" i="8"/>
  <c r="I10" i="8"/>
  <c r="I11" i="8"/>
  <c r="I14" i="8"/>
  <c r="I15" i="8"/>
  <c r="I16" i="8"/>
  <c r="I18" i="8"/>
  <c r="I20" i="8"/>
  <c r="I21" i="8"/>
  <c r="I48" i="6"/>
  <c r="I45" i="6"/>
  <c r="I46" i="6"/>
  <c r="I47" i="6"/>
  <c r="I39" i="6"/>
  <c r="I37" i="6"/>
  <c r="D111" i="28" s="1"/>
  <c r="I42" i="6"/>
  <c r="D158" i="28" s="1"/>
  <c r="I40" i="6"/>
  <c r="D110" i="28" s="1"/>
  <c r="I32" i="6"/>
  <c r="I33" i="6"/>
  <c r="I31" i="6"/>
  <c r="I22" i="6"/>
  <c r="I23" i="6"/>
  <c r="I24" i="6"/>
  <c r="I21" i="6"/>
  <c r="I9" i="6"/>
  <c r="I10" i="6"/>
  <c r="I11" i="6"/>
  <c r="I12" i="6"/>
  <c r="I13" i="6"/>
  <c r="I14" i="6"/>
  <c r="I15" i="6"/>
  <c r="I16" i="6"/>
  <c r="I17" i="6"/>
  <c r="I8" i="6"/>
  <c r="I60" i="5"/>
  <c r="I53" i="5"/>
  <c r="D206" i="28" s="1"/>
  <c r="I52" i="5"/>
  <c r="D205" i="28" s="1"/>
  <c r="I61" i="5"/>
  <c r="D124" i="28" s="1"/>
  <c r="I54" i="5"/>
  <c r="D207" i="28" s="1"/>
  <c r="I43" i="5"/>
  <c r="D121" i="28" s="1"/>
  <c r="I44" i="5"/>
  <c r="D122" i="28" s="1"/>
  <c r="I45" i="5"/>
  <c r="D123" i="28" s="1"/>
  <c r="I48" i="5"/>
  <c r="D125" i="28" s="1"/>
  <c r="I40" i="5"/>
  <c r="D76" i="28" s="1"/>
  <c r="I63" i="5"/>
  <c r="I55" i="5"/>
  <c r="I57" i="5"/>
  <c r="I58" i="5"/>
  <c r="I59" i="5"/>
  <c r="I56" i="5"/>
  <c r="I51" i="5"/>
  <c r="D204" i="28" s="1"/>
  <c r="I49" i="5"/>
  <c r="D178" i="28" s="1"/>
  <c r="I50" i="5"/>
  <c r="I46" i="5"/>
  <c r="D131" i="28" s="1"/>
  <c r="I42" i="5"/>
  <c r="I32" i="5"/>
  <c r="I33" i="5"/>
  <c r="I31" i="5"/>
  <c r="I25" i="5"/>
  <c r="I26" i="5"/>
  <c r="I23" i="5"/>
  <c r="I8" i="5"/>
  <c r="I9" i="5"/>
  <c r="I12" i="5"/>
  <c r="I13" i="5"/>
  <c r="I14" i="5"/>
  <c r="I15" i="5"/>
  <c r="I16" i="5"/>
  <c r="I89" i="4"/>
  <c r="I51" i="4"/>
  <c r="D156" i="28" s="1"/>
  <c r="I81" i="4"/>
  <c r="D173" i="28" s="1"/>
  <c r="I82" i="4"/>
  <c r="I85" i="4"/>
  <c r="I86" i="4"/>
  <c r="I84" i="4"/>
  <c r="I88" i="4"/>
  <c r="I83" i="4"/>
  <c r="I87" i="4"/>
  <c r="I78" i="4"/>
  <c r="I77" i="4"/>
  <c r="D161" i="28" s="1"/>
  <c r="I80" i="4"/>
  <c r="D164" i="28" s="1"/>
  <c r="I69" i="4"/>
  <c r="D152" i="28" s="1"/>
  <c r="I70" i="4"/>
  <c r="D153" i="28" s="1"/>
  <c r="I66" i="4"/>
  <c r="D146" i="28" s="1"/>
  <c r="I65" i="4"/>
  <c r="D145" i="28" s="1"/>
  <c r="I67" i="4"/>
  <c r="D147" i="28" s="1"/>
  <c r="I71" i="4"/>
  <c r="D154" i="28" s="1"/>
  <c r="I62" i="4"/>
  <c r="D141" i="28" s="1"/>
  <c r="I63" i="4"/>
  <c r="D142" i="28" s="1"/>
  <c r="I64" i="4"/>
  <c r="D143" i="28" s="1"/>
  <c r="I72" i="4"/>
  <c r="I73" i="4"/>
  <c r="I74" i="4"/>
  <c r="I75" i="4"/>
  <c r="I76" i="4"/>
  <c r="I55" i="4"/>
  <c r="D115" i="28" s="1"/>
  <c r="I54" i="4"/>
  <c r="D114" i="28" s="1"/>
  <c r="I56" i="4"/>
  <c r="D116" i="28" s="1"/>
  <c r="I58" i="4"/>
  <c r="D119" i="28" s="1"/>
  <c r="I57" i="4"/>
  <c r="D118" i="28" s="1"/>
  <c r="I59" i="4"/>
  <c r="D120" i="28" s="1"/>
  <c r="I48" i="4"/>
  <c r="I47" i="4"/>
  <c r="I92" i="4"/>
  <c r="D234" i="28" s="1"/>
  <c r="I91" i="4"/>
  <c r="D233" i="28" s="1"/>
  <c r="I90" i="4"/>
  <c r="D236" i="28" s="1"/>
  <c r="I43" i="4"/>
  <c r="D235" i="28" s="1"/>
  <c r="I50" i="4"/>
  <c r="D104" i="28" s="1"/>
  <c r="I46" i="4"/>
  <c r="D96" i="28" s="1"/>
  <c r="I35" i="4"/>
  <c r="I36" i="4"/>
  <c r="I37" i="4"/>
  <c r="D64" i="28" s="1"/>
  <c r="J64" i="28" s="1"/>
  <c r="K64" i="28" s="1"/>
  <c r="I34" i="4"/>
  <c r="I25" i="4"/>
  <c r="I26" i="4"/>
  <c r="I27" i="4"/>
  <c r="I24" i="4"/>
  <c r="I9" i="4"/>
  <c r="I10" i="4"/>
  <c r="I11" i="4"/>
  <c r="I12" i="4"/>
  <c r="I13" i="4"/>
  <c r="I14" i="4"/>
  <c r="I15" i="4"/>
  <c r="I16" i="4"/>
  <c r="I17" i="4"/>
  <c r="I18" i="4"/>
  <c r="I19" i="4"/>
  <c r="I20" i="4"/>
  <c r="I8" i="4"/>
  <c r="I42" i="3"/>
  <c r="I36" i="3"/>
  <c r="I39" i="3"/>
  <c r="I40" i="3"/>
  <c r="I34" i="3"/>
  <c r="D189" i="28" s="1"/>
  <c r="I38" i="3"/>
  <c r="I41" i="3"/>
  <c r="I37" i="3"/>
  <c r="I27" i="3"/>
  <c r="I28" i="3"/>
  <c r="I26" i="3"/>
  <c r="I19" i="3"/>
  <c r="D52" i="28" s="1"/>
  <c r="I20" i="3"/>
  <c r="D53" i="28" s="1"/>
  <c r="I18" i="3"/>
  <c r="D51" i="28" s="1"/>
  <c r="I13" i="3"/>
  <c r="I14" i="3"/>
  <c r="D50" i="28" s="1"/>
  <c r="I10" i="3"/>
  <c r="D47" i="28" s="1"/>
  <c r="H38" i="2"/>
  <c r="H34" i="2"/>
  <c r="H37" i="2"/>
  <c r="H36" i="2"/>
  <c r="H35" i="2"/>
  <c r="H28" i="2"/>
  <c r="H27" i="2"/>
  <c r="H21" i="2"/>
  <c r="H22" i="2"/>
  <c r="H20" i="2"/>
  <c r="H11" i="2"/>
  <c r="H13" i="2"/>
  <c r="H14" i="2"/>
  <c r="H15" i="2"/>
  <c r="H16" i="2"/>
  <c r="H10" i="2"/>
  <c r="H48" i="1"/>
  <c r="D215" i="28" s="1"/>
  <c r="H47" i="1"/>
  <c r="D214" i="28" s="1"/>
  <c r="H49" i="1"/>
  <c r="D216" i="28" s="1"/>
  <c r="H56" i="1"/>
  <c r="H43" i="1"/>
  <c r="D82" i="28" s="1"/>
  <c r="H35" i="1"/>
  <c r="H36" i="1"/>
  <c r="H37" i="1"/>
  <c r="H34" i="1"/>
  <c r="H25" i="1"/>
  <c r="H26" i="1"/>
  <c r="H27" i="1"/>
  <c r="H24" i="1"/>
  <c r="H12" i="1"/>
  <c r="H13" i="1"/>
  <c r="H14" i="1"/>
  <c r="H15" i="1"/>
  <c r="H16" i="1"/>
  <c r="H17" i="1"/>
  <c r="H18" i="1"/>
  <c r="H20" i="1"/>
  <c r="H11" i="1"/>
  <c r="H24" i="11"/>
  <c r="J24" i="11"/>
  <c r="H18" i="11"/>
  <c r="J18" i="11"/>
  <c r="H27" i="12"/>
  <c r="J27" i="12"/>
  <c r="H20" i="12"/>
  <c r="J20" i="12"/>
  <c r="H96" i="9"/>
  <c r="I96" i="9"/>
  <c r="J96" i="9"/>
  <c r="H26" i="9"/>
  <c r="J26" i="9"/>
  <c r="H20" i="9"/>
  <c r="J20" i="9"/>
  <c r="I117" i="10"/>
  <c r="K117" i="10"/>
  <c r="I28" i="10"/>
  <c r="K28" i="10"/>
  <c r="I22" i="10"/>
  <c r="K22" i="10"/>
  <c r="H25" i="7"/>
  <c r="J25" i="7"/>
  <c r="H18" i="7"/>
  <c r="J18" i="7"/>
  <c r="H22" i="8"/>
  <c r="J22" i="8"/>
  <c r="H18" i="6"/>
  <c r="J18" i="6"/>
  <c r="J27" i="6" s="1"/>
  <c r="H25" i="6"/>
  <c r="J19" i="5"/>
  <c r="J27" i="5"/>
  <c r="H27" i="5"/>
  <c r="H19" i="5"/>
  <c r="H64" i="5"/>
  <c r="J64" i="5"/>
  <c r="H73" i="5"/>
  <c r="I73" i="5"/>
  <c r="J73" i="5"/>
  <c r="H21" i="4"/>
  <c r="J21" i="4"/>
  <c r="H28" i="4"/>
  <c r="J28" i="4"/>
  <c r="H21" i="3"/>
  <c r="J21" i="3"/>
  <c r="J15" i="3"/>
  <c r="G23" i="2"/>
  <c r="I23" i="2"/>
  <c r="G17" i="2"/>
  <c r="I17" i="2"/>
  <c r="G28" i="1"/>
  <c r="I28" i="1"/>
  <c r="G21" i="1"/>
  <c r="I21" i="1"/>
  <c r="F278" i="28" l="1"/>
  <c r="H277" i="28"/>
  <c r="H278" i="28" s="1"/>
  <c r="H291" i="28"/>
  <c r="F136" i="28"/>
  <c r="H136" i="28" s="1"/>
  <c r="M38" i="11"/>
  <c r="F210" i="28"/>
  <c r="H210" i="28" s="1"/>
  <c r="M47" i="11"/>
  <c r="N52" i="11"/>
  <c r="M52" i="11"/>
  <c r="F183" i="28"/>
  <c r="H183" i="28" s="1"/>
  <c r="M46" i="11"/>
  <c r="F108" i="28"/>
  <c r="H108" i="28" s="1"/>
  <c r="M36" i="11"/>
  <c r="F107" i="28"/>
  <c r="H107" i="28" s="1"/>
  <c r="M35" i="11"/>
  <c r="F182" i="28"/>
  <c r="H182" i="28" s="1"/>
  <c r="M45" i="11"/>
  <c r="F181" i="28"/>
  <c r="H181" i="28" s="1"/>
  <c r="M44" i="11"/>
  <c r="N9" i="11"/>
  <c r="I27" i="28" s="1"/>
  <c r="M9" i="11"/>
  <c r="L56" i="9"/>
  <c r="I162" i="28" s="1"/>
  <c r="F162" i="28"/>
  <c r="H162" i="28" s="1"/>
  <c r="D225" i="28"/>
  <c r="L43" i="9"/>
  <c r="I208" i="28" s="1"/>
  <c r="F208" i="28"/>
  <c r="H208" i="28" s="1"/>
  <c r="L51" i="9"/>
  <c r="I137" i="28" s="1"/>
  <c r="C7" i="26" s="1"/>
  <c r="F137" i="28"/>
  <c r="H137" i="28" s="1"/>
  <c r="L64" i="9"/>
  <c r="I209" i="28" s="1"/>
  <c r="F209" i="28"/>
  <c r="H209" i="28" s="1"/>
  <c r="D213" i="28"/>
  <c r="M50" i="7"/>
  <c r="N50" i="7" s="1"/>
  <c r="Q28" i="5"/>
  <c r="M54" i="8"/>
  <c r="N54" i="8" s="1"/>
  <c r="N16" i="11"/>
  <c r="N15" i="11"/>
  <c r="L55" i="5"/>
  <c r="M55" i="5" s="1"/>
  <c r="N55" i="5" s="1"/>
  <c r="F76" i="28"/>
  <c r="H76" i="28" s="1"/>
  <c r="L40" i="5"/>
  <c r="C40" i="28"/>
  <c r="D291" i="28"/>
  <c r="M32" i="7"/>
  <c r="L35" i="7"/>
  <c r="G9" i="15" s="1"/>
  <c r="D231" i="28"/>
  <c r="M15" i="7"/>
  <c r="L18" i="7"/>
  <c r="L27" i="7" s="1"/>
  <c r="M30" i="8"/>
  <c r="L32" i="8"/>
  <c r="M37" i="8"/>
  <c r="L40" i="8"/>
  <c r="G7" i="15" s="1"/>
  <c r="D278" i="28"/>
  <c r="M18" i="8"/>
  <c r="L22" i="8"/>
  <c r="M15" i="6"/>
  <c r="L18" i="6"/>
  <c r="L27" i="6" s="1"/>
  <c r="D65" i="28"/>
  <c r="I223" i="28"/>
  <c r="I231" i="28"/>
  <c r="F231" i="28"/>
  <c r="H231" i="28" s="1"/>
  <c r="M15" i="5"/>
  <c r="M19" i="5" s="1"/>
  <c r="L28" i="5"/>
  <c r="M31" i="5"/>
  <c r="L35" i="5"/>
  <c r="G6" i="15" s="1"/>
  <c r="F262" i="28"/>
  <c r="H262" i="28" s="1"/>
  <c r="D59" i="28"/>
  <c r="M26" i="3"/>
  <c r="L30" i="3"/>
  <c r="G5" i="15" s="1"/>
  <c r="H15" i="3"/>
  <c r="C45" i="28"/>
  <c r="C54" i="28" s="1"/>
  <c r="F59" i="28"/>
  <c r="H59" i="28" s="1"/>
  <c r="K27" i="2"/>
  <c r="L34" i="1"/>
  <c r="K38" i="1"/>
  <c r="G2" i="15" s="1"/>
  <c r="D62" i="28"/>
  <c r="D222" i="28"/>
  <c r="F222" i="28"/>
  <c r="H222" i="28" s="1"/>
  <c r="F24" i="28"/>
  <c r="H24" i="28" s="1"/>
  <c r="F225" i="28"/>
  <c r="H225" i="28" s="1"/>
  <c r="O29" i="11"/>
  <c r="N32" i="11"/>
  <c r="G11" i="15" s="1"/>
  <c r="D24" i="28"/>
  <c r="F291" i="28"/>
  <c r="O9" i="11"/>
  <c r="N19" i="10"/>
  <c r="M22" i="10"/>
  <c r="M30" i="10" s="1"/>
  <c r="D72" i="28"/>
  <c r="O18" i="10"/>
  <c r="F161" i="28"/>
  <c r="H161" i="28" s="1"/>
  <c r="I163" i="28"/>
  <c r="C31" i="28"/>
  <c r="M34" i="4"/>
  <c r="L38" i="4"/>
  <c r="G4" i="15" s="1"/>
  <c r="D30" i="28"/>
  <c r="M36" i="4"/>
  <c r="I62" i="28"/>
  <c r="F115" i="28"/>
  <c r="H115" i="28" s="1"/>
  <c r="F14" i="28"/>
  <c r="H14" i="28" s="1"/>
  <c r="D17" i="28"/>
  <c r="F34" i="28"/>
  <c r="H34" i="28" s="1"/>
  <c r="F30" i="28"/>
  <c r="H30" i="28" s="1"/>
  <c r="F17" i="28"/>
  <c r="H17" i="28" s="1"/>
  <c r="D237" i="28"/>
  <c r="D63" i="28"/>
  <c r="L46" i="4"/>
  <c r="I96" i="28" s="1"/>
  <c r="F96" i="28"/>
  <c r="H96" i="28" s="1"/>
  <c r="F26" i="28"/>
  <c r="H26" i="28" s="1"/>
  <c r="F37" i="28"/>
  <c r="H37" i="28" s="1"/>
  <c r="D27" i="28"/>
  <c r="D25" i="28"/>
  <c r="D60" i="28"/>
  <c r="F73" i="28"/>
  <c r="H73" i="28" s="1"/>
  <c r="F72" i="28"/>
  <c r="H72" i="28" s="1"/>
  <c r="L52" i="12"/>
  <c r="M56" i="9"/>
  <c r="J162" i="28" s="1"/>
  <c r="D74" i="28"/>
  <c r="D73" i="28"/>
  <c r="D26" i="28"/>
  <c r="D37" i="28"/>
  <c r="F27" i="28"/>
  <c r="H27" i="28" s="1"/>
  <c r="F25" i="28"/>
  <c r="H25" i="28" s="1"/>
  <c r="D14" i="28"/>
  <c r="D34" i="28"/>
  <c r="M54" i="7"/>
  <c r="M55" i="7"/>
  <c r="M51" i="7"/>
  <c r="N51" i="7" s="1"/>
  <c r="M55" i="8"/>
  <c r="N55" i="8" s="1"/>
  <c r="M47" i="6"/>
  <c r="L39" i="6"/>
  <c r="I110" i="28"/>
  <c r="F60" i="28"/>
  <c r="H60" i="28" s="1"/>
  <c r="L31" i="6"/>
  <c r="F65" i="28"/>
  <c r="H65" i="28" s="1"/>
  <c r="L33" i="6"/>
  <c r="F63" i="28"/>
  <c r="H63" i="28" s="1"/>
  <c r="L32" i="6"/>
  <c r="M48" i="6"/>
  <c r="N48" i="6" s="1"/>
  <c r="L58" i="5"/>
  <c r="I221" i="28" s="1"/>
  <c r="L50" i="5"/>
  <c r="L59" i="4"/>
  <c r="L87" i="4"/>
  <c r="M49" i="4"/>
  <c r="M47" i="4"/>
  <c r="M48" i="4"/>
  <c r="L39" i="3"/>
  <c r="M38" i="3"/>
  <c r="M36" i="3"/>
  <c r="L37" i="2"/>
  <c r="L34" i="2"/>
  <c r="K39" i="2"/>
  <c r="M59" i="9"/>
  <c r="J175" i="28" s="1"/>
  <c r="M32" i="9"/>
  <c r="L20" i="9"/>
  <c r="L28" i="9" s="1"/>
  <c r="N37" i="10"/>
  <c r="O37" i="10" s="1"/>
  <c r="N36" i="10"/>
  <c r="O36" i="10" s="1"/>
  <c r="N99" i="10"/>
  <c r="N34" i="10"/>
  <c r="M39" i="10"/>
  <c r="N35" i="10"/>
  <c r="O35" i="10" s="1"/>
  <c r="L74" i="9"/>
  <c r="I230" i="28" s="1"/>
  <c r="L46" i="8"/>
  <c r="I130" i="28" s="1"/>
  <c r="L43" i="8"/>
  <c r="I79" i="28" s="1"/>
  <c r="L46" i="5"/>
  <c r="I131" i="28" s="1"/>
  <c r="L49" i="5"/>
  <c r="I178" i="28" s="1"/>
  <c r="N42" i="5"/>
  <c r="M51" i="5"/>
  <c r="J204" i="28" s="1"/>
  <c r="L54" i="5"/>
  <c r="I207" i="28" s="1"/>
  <c r="M42" i="3"/>
  <c r="M37" i="3"/>
  <c r="J218" i="28" s="1"/>
  <c r="M40" i="3"/>
  <c r="M55" i="4"/>
  <c r="J115" i="28" s="1"/>
  <c r="L73" i="4"/>
  <c r="M73" i="4" s="1"/>
  <c r="L62" i="4"/>
  <c r="I141" i="28" s="1"/>
  <c r="L66" i="4"/>
  <c r="L90" i="4"/>
  <c r="L72" i="4"/>
  <c r="M72" i="4" s="1"/>
  <c r="I161" i="28"/>
  <c r="L91" i="4"/>
  <c r="I233" i="28" s="1"/>
  <c r="M56" i="4"/>
  <c r="J116" i="28" s="1"/>
  <c r="L64" i="4"/>
  <c r="I143" i="28" s="1"/>
  <c r="L67" i="4"/>
  <c r="J163" i="28"/>
  <c r="L92" i="4"/>
  <c r="I234" i="28" s="1"/>
  <c r="M54" i="4"/>
  <c r="J114" i="28" s="1"/>
  <c r="L74" i="4"/>
  <c r="L63" i="4"/>
  <c r="I142" i="28" s="1"/>
  <c r="L65" i="4"/>
  <c r="I76" i="28"/>
  <c r="M44" i="12"/>
  <c r="O52" i="11"/>
  <c r="H75" i="9"/>
  <c r="I46" i="9"/>
  <c r="D95" i="28" s="1"/>
  <c r="J29" i="2"/>
  <c r="G24" i="2"/>
  <c r="G42" i="2" s="1"/>
  <c r="I24" i="2"/>
  <c r="I42" i="2" s="1"/>
  <c r="K40" i="8"/>
  <c r="J29" i="12"/>
  <c r="J54" i="12" s="1"/>
  <c r="I30" i="3"/>
  <c r="K32" i="11"/>
  <c r="K34" i="12"/>
  <c r="L39" i="10"/>
  <c r="K35" i="7"/>
  <c r="I34" i="6"/>
  <c r="K34" i="6"/>
  <c r="K73" i="5"/>
  <c r="K79" i="5"/>
  <c r="I35" i="5"/>
  <c r="K35" i="5"/>
  <c r="K30" i="3"/>
  <c r="H29" i="2"/>
  <c r="J23" i="2"/>
  <c r="H38" i="1"/>
  <c r="G29" i="1"/>
  <c r="G62" i="1" s="1"/>
  <c r="J38" i="1"/>
  <c r="H28" i="1"/>
  <c r="H30" i="4"/>
  <c r="H103" i="4" s="1"/>
  <c r="I38" i="4"/>
  <c r="K38" i="4"/>
  <c r="I40" i="8"/>
  <c r="I35" i="7"/>
  <c r="J39" i="10"/>
  <c r="J26" i="11"/>
  <c r="J82" i="11" s="1"/>
  <c r="K27" i="12"/>
  <c r="J28" i="1"/>
  <c r="J51" i="6"/>
  <c r="J23" i="3"/>
  <c r="J45" i="3" s="1"/>
  <c r="K28" i="4"/>
  <c r="I73" i="8"/>
  <c r="K73" i="8"/>
  <c r="K20" i="12"/>
  <c r="I20" i="12"/>
  <c r="J28" i="9"/>
  <c r="J62" i="9" s="1"/>
  <c r="J75" i="9" s="1"/>
  <c r="K25" i="7"/>
  <c r="J27" i="7"/>
  <c r="J60" i="7" s="1"/>
  <c r="K18" i="7"/>
  <c r="J34" i="8"/>
  <c r="J50" i="8" s="1"/>
  <c r="J57" i="8" s="1"/>
  <c r="K25" i="6"/>
  <c r="I29" i="1"/>
  <c r="I62" i="1" s="1"/>
  <c r="J30" i="4"/>
  <c r="J103" i="4" s="1"/>
  <c r="I25" i="7"/>
  <c r="H29" i="12"/>
  <c r="H54" i="12" s="1"/>
  <c r="K21" i="4"/>
  <c r="H28" i="9"/>
  <c r="H62" i="9" s="1"/>
  <c r="H26" i="11"/>
  <c r="H82" i="11" s="1"/>
  <c r="I30" i="10"/>
  <c r="I77" i="10" s="1"/>
  <c r="H27" i="7"/>
  <c r="H60" i="7" s="1"/>
  <c r="I18" i="7"/>
  <c r="H34" i="8"/>
  <c r="H50" i="8" s="1"/>
  <c r="H57" i="8" s="1"/>
  <c r="I25" i="6"/>
  <c r="H27" i="6"/>
  <c r="H51" i="6" s="1"/>
  <c r="I18" i="6"/>
  <c r="H28" i="5"/>
  <c r="H67" i="5" s="1"/>
  <c r="H75" i="5" s="1"/>
  <c r="I28" i="4"/>
  <c r="H23" i="3"/>
  <c r="H45" i="3" s="1"/>
  <c r="K89" i="11"/>
  <c r="K18" i="6"/>
  <c r="K21" i="3"/>
  <c r="J17" i="2"/>
  <c r="J21" i="1"/>
  <c r="I27" i="12"/>
  <c r="I21" i="4"/>
  <c r="I21" i="3"/>
  <c r="H23" i="2"/>
  <c r="H17" i="2"/>
  <c r="H21" i="1"/>
  <c r="K30" i="10"/>
  <c r="K77" i="10" s="1"/>
  <c r="K108" i="10" s="1"/>
  <c r="J28" i="5"/>
  <c r="J67" i="5" s="1"/>
  <c r="J75" i="5" s="1"/>
  <c r="H67" i="28" l="1"/>
  <c r="N18" i="11"/>
  <c r="N26" i="11" s="1"/>
  <c r="N34" i="11" s="1"/>
  <c r="N67" i="11" s="1"/>
  <c r="O16" i="11"/>
  <c r="P16" i="11" s="1"/>
  <c r="I25" i="28"/>
  <c r="D309" i="28"/>
  <c r="I26" i="28"/>
  <c r="O15" i="11"/>
  <c r="P15" i="11" s="1"/>
  <c r="L62" i="9"/>
  <c r="L34" i="8"/>
  <c r="L50" i="8" s="1"/>
  <c r="C42" i="28"/>
  <c r="C56" i="28" s="1"/>
  <c r="L38" i="7"/>
  <c r="B9" i="15"/>
  <c r="N15" i="7"/>
  <c r="N18" i="7" s="1"/>
  <c r="N27" i="7" s="1"/>
  <c r="N38" i="7" s="1"/>
  <c r="M18" i="7"/>
  <c r="M27" i="7" s="1"/>
  <c r="M38" i="7" s="1"/>
  <c r="M58" i="7" s="1"/>
  <c r="N32" i="7"/>
  <c r="N35" i="7" s="1"/>
  <c r="M35" i="7"/>
  <c r="N18" i="8"/>
  <c r="N22" i="8" s="1"/>
  <c r="M22" i="8"/>
  <c r="N37" i="8"/>
  <c r="N40" i="8" s="1"/>
  <c r="M40" i="8"/>
  <c r="N30" i="8"/>
  <c r="N32" i="8" s="1"/>
  <c r="M32" i="8"/>
  <c r="L44" i="6"/>
  <c r="L49" i="6" s="1"/>
  <c r="C8" i="15" s="1"/>
  <c r="B8" i="15"/>
  <c r="N15" i="6"/>
  <c r="N18" i="6" s="1"/>
  <c r="N27" i="6" s="1"/>
  <c r="N44" i="6" s="1"/>
  <c r="M18" i="6"/>
  <c r="M27" i="6" s="1"/>
  <c r="M44" i="6" s="1"/>
  <c r="M63" i="5"/>
  <c r="J231" i="28" s="1"/>
  <c r="N31" i="5"/>
  <c r="N35" i="5" s="1"/>
  <c r="M35" i="5"/>
  <c r="B6" i="15"/>
  <c r="L38" i="5"/>
  <c r="N15" i="5"/>
  <c r="M28" i="5"/>
  <c r="M38" i="5" s="1"/>
  <c r="N26" i="3"/>
  <c r="N30" i="3" s="1"/>
  <c r="M30" i="3"/>
  <c r="L27" i="2"/>
  <c r="I59" i="28"/>
  <c r="K29" i="2"/>
  <c r="G3" i="15" s="1"/>
  <c r="M34" i="1"/>
  <c r="M38" i="1" s="1"/>
  <c r="L38" i="1"/>
  <c r="P9" i="11"/>
  <c r="J27" i="28"/>
  <c r="P29" i="11"/>
  <c r="P32" i="11" s="1"/>
  <c r="O32" i="11"/>
  <c r="O19" i="10"/>
  <c r="J25" i="28"/>
  <c r="I108" i="10"/>
  <c r="I110" i="10" s="1"/>
  <c r="I119" i="10" s="1"/>
  <c r="C190" i="28"/>
  <c r="N22" i="10"/>
  <c r="N30" i="10" s="1"/>
  <c r="N77" i="10" s="1"/>
  <c r="N108" i="10" s="1"/>
  <c r="M77" i="10"/>
  <c r="B12" i="15"/>
  <c r="I147" i="28"/>
  <c r="I146" i="28"/>
  <c r="I222" i="28"/>
  <c r="I84" i="28"/>
  <c r="I120" i="28"/>
  <c r="I145" i="28"/>
  <c r="I236" i="28"/>
  <c r="I116" i="28"/>
  <c r="I164" i="28"/>
  <c r="I115" i="28"/>
  <c r="I114" i="28"/>
  <c r="M87" i="4"/>
  <c r="J222" i="28" s="1"/>
  <c r="J120" i="28"/>
  <c r="M82" i="4"/>
  <c r="N36" i="4"/>
  <c r="K62" i="28" s="1"/>
  <c r="J62" i="28"/>
  <c r="N34" i="4"/>
  <c r="M38" i="4"/>
  <c r="M71" i="4"/>
  <c r="J154" i="28" s="1"/>
  <c r="I154" i="28"/>
  <c r="D67" i="28"/>
  <c r="M50" i="12"/>
  <c r="J223" i="28" s="1"/>
  <c r="M53" i="9"/>
  <c r="J138" i="28" s="1"/>
  <c r="N56" i="9"/>
  <c r="K162" i="28" s="1"/>
  <c r="J137" i="28"/>
  <c r="N54" i="7"/>
  <c r="N55" i="7"/>
  <c r="N47" i="6"/>
  <c r="M39" i="6"/>
  <c r="I63" i="28"/>
  <c r="M32" i="6"/>
  <c r="M31" i="6"/>
  <c r="I60" i="28"/>
  <c r="L34" i="6"/>
  <c r="M40" i="6"/>
  <c r="J110" i="28" s="1"/>
  <c r="F67" i="28"/>
  <c r="I65" i="28"/>
  <c r="M33" i="6"/>
  <c r="M50" i="5"/>
  <c r="M58" i="5"/>
  <c r="J221" i="28" s="1"/>
  <c r="L93" i="4"/>
  <c r="L103" i="4" s="1"/>
  <c r="M63" i="4"/>
  <c r="J142" i="28" s="1"/>
  <c r="M64" i="4"/>
  <c r="J143" i="28" s="1"/>
  <c r="N48" i="4"/>
  <c r="M58" i="4"/>
  <c r="J119" i="28" s="1"/>
  <c r="M62" i="4"/>
  <c r="J141" i="28" s="1"/>
  <c r="N82" i="4"/>
  <c r="N47" i="4"/>
  <c r="N49" i="4"/>
  <c r="M39" i="3"/>
  <c r="M43" i="3" s="1"/>
  <c r="L43" i="3"/>
  <c r="C5" i="15" s="1"/>
  <c r="N36" i="3"/>
  <c r="N38" i="3"/>
  <c r="M34" i="2"/>
  <c r="L39" i="2"/>
  <c r="M37" i="2"/>
  <c r="C3" i="15"/>
  <c r="K42" i="2"/>
  <c r="B10" i="15"/>
  <c r="N59" i="9"/>
  <c r="K175" i="28" s="1"/>
  <c r="N20" i="9"/>
  <c r="N28" i="9" s="1"/>
  <c r="N62" i="9" s="1"/>
  <c r="M20" i="9"/>
  <c r="M28" i="9" s="1"/>
  <c r="M62" i="9" s="1"/>
  <c r="N32" i="9"/>
  <c r="O34" i="10"/>
  <c r="N39" i="10"/>
  <c r="G12" i="15"/>
  <c r="O99" i="10"/>
  <c r="H77" i="9"/>
  <c r="H90" i="9" s="1"/>
  <c r="J208" i="28"/>
  <c r="J135" i="28"/>
  <c r="J209" i="28"/>
  <c r="M74" i="9"/>
  <c r="J230" i="28" s="1"/>
  <c r="M46" i="8"/>
  <c r="J130" i="28" s="1"/>
  <c r="M43" i="8"/>
  <c r="J79" i="28" s="1"/>
  <c r="M49" i="5"/>
  <c r="J178" i="28" s="1"/>
  <c r="N51" i="5"/>
  <c r="K204" i="28" s="1"/>
  <c r="M54" i="5"/>
  <c r="J207" i="28" s="1"/>
  <c r="J131" i="28"/>
  <c r="N37" i="3"/>
  <c r="K218" i="28" s="1"/>
  <c r="N40" i="3"/>
  <c r="N42" i="3"/>
  <c r="M65" i="4"/>
  <c r="J145" i="28" s="1"/>
  <c r="M74" i="4"/>
  <c r="N64" i="4"/>
  <c r="K143" i="28" s="1"/>
  <c r="J84" i="28"/>
  <c r="N63" i="4"/>
  <c r="K142" i="28" s="1"/>
  <c r="M92" i="4"/>
  <c r="J234" i="28" s="1"/>
  <c r="M67" i="4"/>
  <c r="J147" i="28" s="1"/>
  <c r="M90" i="4"/>
  <c r="J236" i="28" s="1"/>
  <c r="M66" i="4"/>
  <c r="J146" i="28" s="1"/>
  <c r="N73" i="4"/>
  <c r="M57" i="4"/>
  <c r="M78" i="4"/>
  <c r="J161" i="28"/>
  <c r="J164" i="28"/>
  <c r="N87" i="4"/>
  <c r="K222" i="28" s="1"/>
  <c r="K120" i="28"/>
  <c r="N55" i="4"/>
  <c r="K115" i="28" s="1"/>
  <c r="N54" i="4"/>
  <c r="K114" i="28" s="1"/>
  <c r="K163" i="28"/>
  <c r="N56" i="4"/>
  <c r="K116" i="28" s="1"/>
  <c r="M50" i="4"/>
  <c r="J104" i="28" s="1"/>
  <c r="M91" i="4"/>
  <c r="J233" i="28" s="1"/>
  <c r="N72" i="4"/>
  <c r="M43" i="4"/>
  <c r="J235" i="28" s="1"/>
  <c r="M40" i="5"/>
  <c r="J76" i="28" s="1"/>
  <c r="L54" i="12"/>
  <c r="C13" i="15"/>
  <c r="N44" i="12"/>
  <c r="M52" i="12"/>
  <c r="M54" i="12" s="1"/>
  <c r="P52" i="11"/>
  <c r="J77" i="28"/>
  <c r="I27" i="7"/>
  <c r="K110" i="10"/>
  <c r="K119" i="10" s="1"/>
  <c r="J77" i="9"/>
  <c r="J90" i="9" s="1"/>
  <c r="H59" i="8"/>
  <c r="H65" i="8" s="1"/>
  <c r="J59" i="8"/>
  <c r="J65" i="8" s="1"/>
  <c r="K29" i="12"/>
  <c r="K27" i="7"/>
  <c r="I27" i="6"/>
  <c r="K27" i="6"/>
  <c r="J24" i="2"/>
  <c r="H24" i="2"/>
  <c r="H29" i="1"/>
  <c r="I29" i="12"/>
  <c r="J29" i="1"/>
  <c r="K30" i="4"/>
  <c r="I30" i="4"/>
  <c r="G47" i="5"/>
  <c r="B133" i="28" s="1"/>
  <c r="B11" i="15" l="1"/>
  <c r="K25" i="28"/>
  <c r="N19" i="5"/>
  <c r="N28" i="5" s="1"/>
  <c r="N38" i="5" s="1"/>
  <c r="L58" i="7"/>
  <c r="L60" i="7" s="1"/>
  <c r="O22" i="10"/>
  <c r="O30" i="10" s="1"/>
  <c r="O77" i="10" s="1"/>
  <c r="O108" i="10" s="1"/>
  <c r="B7" i="15"/>
  <c r="M34" i="8"/>
  <c r="M50" i="8" s="1"/>
  <c r="N34" i="8"/>
  <c r="N50" i="8" s="1"/>
  <c r="I31" i="28"/>
  <c r="I42" i="28" s="1"/>
  <c r="C3" i="26" s="1"/>
  <c r="O18" i="11"/>
  <c r="O26" i="11" s="1"/>
  <c r="O34" i="11" s="1"/>
  <c r="O67" i="11" s="1"/>
  <c r="J26" i="28"/>
  <c r="J31" i="28" s="1"/>
  <c r="J42" i="28" s="1"/>
  <c r="J56" i="28" s="1"/>
  <c r="C9" i="15"/>
  <c r="N63" i="5"/>
  <c r="K231" i="28" s="1"/>
  <c r="K26" i="28"/>
  <c r="M45" i="3"/>
  <c r="M27" i="2"/>
  <c r="J59" i="28"/>
  <c r="L29" i="2"/>
  <c r="L42" i="2" s="1"/>
  <c r="C11" i="15"/>
  <c r="C250" i="28"/>
  <c r="C272" i="28" s="1"/>
  <c r="C311" i="28" s="1"/>
  <c r="K27" i="28"/>
  <c r="P18" i="11"/>
  <c r="P26" i="11" s="1"/>
  <c r="P34" i="11" s="1"/>
  <c r="I190" i="28"/>
  <c r="M108" i="10"/>
  <c r="L45" i="3"/>
  <c r="N71" i="4"/>
  <c r="K154" i="28" s="1"/>
  <c r="N62" i="4"/>
  <c r="K141" i="28" s="1"/>
  <c r="N38" i="4"/>
  <c r="J118" i="28"/>
  <c r="C4" i="15"/>
  <c r="N50" i="12"/>
  <c r="K223" i="28" s="1"/>
  <c r="N51" i="9"/>
  <c r="K137" i="28" s="1"/>
  <c r="N53" i="9"/>
  <c r="K138" i="28" s="1"/>
  <c r="N58" i="7"/>
  <c r="N39" i="6"/>
  <c r="I67" i="28"/>
  <c r="N40" i="6"/>
  <c r="K110" i="28" s="1"/>
  <c r="N31" i="6"/>
  <c r="J60" i="28"/>
  <c r="M34" i="6"/>
  <c r="J65" i="28"/>
  <c r="N33" i="6"/>
  <c r="K65" i="28" s="1"/>
  <c r="J63" i="28"/>
  <c r="N32" i="6"/>
  <c r="K63" i="28" s="1"/>
  <c r="G8" i="15"/>
  <c r="L51" i="6"/>
  <c r="N58" i="5"/>
  <c r="K221" i="28" s="1"/>
  <c r="N50" i="5"/>
  <c r="N58" i="4"/>
  <c r="N39" i="3"/>
  <c r="N43" i="3" s="1"/>
  <c r="N45" i="3" s="1"/>
  <c r="M39" i="2"/>
  <c r="L75" i="9"/>
  <c r="C10" i="15" s="1"/>
  <c r="O39" i="10"/>
  <c r="N43" i="9"/>
  <c r="K208" i="28" s="1"/>
  <c r="N74" i="9"/>
  <c r="K230" i="28" s="1"/>
  <c r="K135" i="28"/>
  <c r="M75" i="9"/>
  <c r="N64" i="9"/>
  <c r="K209" i="28" s="1"/>
  <c r="N46" i="8"/>
  <c r="K130" i="28" s="1"/>
  <c r="N43" i="8"/>
  <c r="K79" i="28" s="1"/>
  <c r="N54" i="5"/>
  <c r="K207" i="28" s="1"/>
  <c r="N49" i="5"/>
  <c r="K178" i="28" s="1"/>
  <c r="K131" i="28"/>
  <c r="N43" i="4"/>
  <c r="K235" i="28" s="1"/>
  <c r="N91" i="4"/>
  <c r="K233" i="28" s="1"/>
  <c r="K164" i="28"/>
  <c r="N78" i="4"/>
  <c r="N90" i="4"/>
  <c r="K236" i="28" s="1"/>
  <c r="N67" i="4"/>
  <c r="K147" i="28" s="1"/>
  <c r="N74" i="4"/>
  <c r="N50" i="4"/>
  <c r="K104" i="28" s="1"/>
  <c r="K161" i="28"/>
  <c r="N57" i="4"/>
  <c r="N66" i="4"/>
  <c r="K146" i="28" s="1"/>
  <c r="N92" i="4"/>
  <c r="K234" i="28" s="1"/>
  <c r="K84" i="28"/>
  <c r="N65" i="4"/>
  <c r="K145" i="28" s="1"/>
  <c r="N40" i="5"/>
  <c r="K76" i="28" s="1"/>
  <c r="N42" i="8"/>
  <c r="K77" i="28" s="1"/>
  <c r="I47" i="5"/>
  <c r="D133" i="28" s="1"/>
  <c r="K47" i="5"/>
  <c r="N63" i="8"/>
  <c r="G42" i="9"/>
  <c r="G7" i="5"/>
  <c r="G24" i="5"/>
  <c r="J190" i="28" l="1"/>
  <c r="I56" i="28"/>
  <c r="O82" i="11"/>
  <c r="C6" i="26"/>
  <c r="F133" i="28"/>
  <c r="H133" i="28" s="1"/>
  <c r="L47" i="5"/>
  <c r="K31" i="28"/>
  <c r="K42" i="28" s="1"/>
  <c r="K56" i="28" s="1"/>
  <c r="K59" i="28"/>
  <c r="M29" i="2"/>
  <c r="M42" i="2" s="1"/>
  <c r="K190" i="28"/>
  <c r="P67" i="11"/>
  <c r="P82" i="11" s="1"/>
  <c r="N82" i="11"/>
  <c r="C254" i="28"/>
  <c r="C12" i="15"/>
  <c r="M110" i="10"/>
  <c r="I298" i="28"/>
  <c r="I307" i="28" s="1"/>
  <c r="I309" i="28" s="1"/>
  <c r="K119" i="28"/>
  <c r="K118" i="28"/>
  <c r="N52" i="12"/>
  <c r="N54" i="12" s="1"/>
  <c r="K60" i="28"/>
  <c r="N34" i="6"/>
  <c r="J67" i="28"/>
  <c r="J298" i="28" s="1"/>
  <c r="J307" i="28" s="1"/>
  <c r="J309" i="28" s="1"/>
  <c r="N75" i="9"/>
  <c r="I133" i="28"/>
  <c r="K42" i="9"/>
  <c r="F83" i="28" s="1"/>
  <c r="H83" i="28" s="1"/>
  <c r="I42" i="9"/>
  <c r="D83" i="28" s="1"/>
  <c r="R24" i="5"/>
  <c r="R27" i="5" s="1"/>
  <c r="I24" i="5"/>
  <c r="I27" i="5" s="1"/>
  <c r="K24" i="5"/>
  <c r="K27" i="5" s="1"/>
  <c r="R7" i="5"/>
  <c r="K7" i="5"/>
  <c r="I7" i="5"/>
  <c r="G42" i="12"/>
  <c r="G12" i="3"/>
  <c r="B49" i="28" s="1"/>
  <c r="G11" i="3"/>
  <c r="B45" i="28" s="1"/>
  <c r="G38" i="9"/>
  <c r="G61" i="9"/>
  <c r="M119" i="10" l="1"/>
  <c r="B54" i="28"/>
  <c r="K67" i="28"/>
  <c r="K298" i="28" s="1"/>
  <c r="J133" i="28"/>
  <c r="K61" i="9"/>
  <c r="F188" i="28" s="1"/>
  <c r="H188" i="28" s="1"/>
  <c r="I61" i="9"/>
  <c r="D188" i="28" s="1"/>
  <c r="G39" i="9"/>
  <c r="I38" i="9"/>
  <c r="K38" i="9"/>
  <c r="K12" i="3"/>
  <c r="F49" i="28" s="1"/>
  <c r="H49" i="28" s="1"/>
  <c r="I12" i="3"/>
  <c r="D49" i="28" s="1"/>
  <c r="I11" i="3"/>
  <c r="D45" i="28" s="1"/>
  <c r="K11" i="3"/>
  <c r="F45" i="28" s="1"/>
  <c r="H45" i="28" s="1"/>
  <c r="K42" i="12"/>
  <c r="F184" i="28" s="1"/>
  <c r="H184" i="28" s="1"/>
  <c r="I42" i="12"/>
  <c r="D184" i="28" s="1"/>
  <c r="H42" i="10"/>
  <c r="B71" i="28" s="1"/>
  <c r="H54" i="28" l="1"/>
  <c r="F54" i="28"/>
  <c r="D54" i="28"/>
  <c r="K93" i="9"/>
  <c r="K96" i="9" s="1"/>
  <c r="K39" i="9"/>
  <c r="L38" i="9"/>
  <c r="K133" i="28"/>
  <c r="I39" i="9"/>
  <c r="K15" i="3"/>
  <c r="K23" i="3" s="1"/>
  <c r="I15" i="3"/>
  <c r="I23" i="3" s="1"/>
  <c r="J42" i="10"/>
  <c r="L42" i="10"/>
  <c r="F71" i="28" l="1"/>
  <c r="H71" i="28" s="1"/>
  <c r="D71" i="28"/>
  <c r="B307" i="28"/>
  <c r="B309" i="28" s="1"/>
  <c r="F301" i="28"/>
  <c r="F93" i="28"/>
  <c r="H93" i="28" s="1"/>
  <c r="D93" i="28"/>
  <c r="M38" i="9"/>
  <c r="L39" i="9"/>
  <c r="K301" i="28"/>
  <c r="G89" i="11"/>
  <c r="G22" i="11"/>
  <c r="G11" i="11"/>
  <c r="G10" i="11"/>
  <c r="G7" i="11"/>
  <c r="G27" i="12"/>
  <c r="G20" i="12"/>
  <c r="G96" i="9"/>
  <c r="G25" i="9"/>
  <c r="G24" i="9"/>
  <c r="G23" i="9"/>
  <c r="G22" i="9"/>
  <c r="G13" i="9"/>
  <c r="G11" i="9"/>
  <c r="G9" i="9"/>
  <c r="G8" i="9"/>
  <c r="G5" i="9"/>
  <c r="G146" i="10"/>
  <c r="H146" i="10" s="1"/>
  <c r="G145" i="10"/>
  <c r="H145" i="10" s="1"/>
  <c r="G144" i="10"/>
  <c r="H144" i="10" s="1"/>
  <c r="G143" i="10"/>
  <c r="H143" i="10" s="1"/>
  <c r="G142" i="10"/>
  <c r="H142" i="10" s="1"/>
  <c r="G141" i="10"/>
  <c r="H141" i="10" s="1"/>
  <c r="G140" i="10"/>
  <c r="H140" i="10" s="1"/>
  <c r="G139" i="10"/>
  <c r="G147" i="10" s="1"/>
  <c r="G136" i="10"/>
  <c r="H136" i="10" s="1"/>
  <c r="G135" i="10"/>
  <c r="H135" i="10" s="1"/>
  <c r="G134" i="10"/>
  <c r="H134" i="10" s="1"/>
  <c r="G133" i="10"/>
  <c r="H133" i="10" s="1"/>
  <c r="G132" i="10"/>
  <c r="H132" i="10" s="1"/>
  <c r="G131" i="10"/>
  <c r="H131" i="10" s="1"/>
  <c r="G130" i="10"/>
  <c r="H130" i="10" s="1"/>
  <c r="G129" i="10"/>
  <c r="H129" i="10" s="1"/>
  <c r="G128" i="10"/>
  <c r="H128" i="10" s="1"/>
  <c r="G127" i="10"/>
  <c r="G137" i="10" s="1"/>
  <c r="H115" i="10"/>
  <c r="G112" i="10"/>
  <c r="G117" i="10" s="1"/>
  <c r="G53" i="10"/>
  <c r="G71" i="10"/>
  <c r="G72" i="10"/>
  <c r="G46" i="10"/>
  <c r="G44" i="10"/>
  <c r="G45" i="10"/>
  <c r="G63" i="10"/>
  <c r="G62" i="10"/>
  <c r="G57" i="10"/>
  <c r="G93" i="10"/>
  <c r="G94" i="10"/>
  <c r="G85" i="10"/>
  <c r="G87" i="10"/>
  <c r="G80" i="10"/>
  <c r="G86" i="10"/>
  <c r="G78" i="10"/>
  <c r="G83" i="10"/>
  <c r="G88" i="10"/>
  <c r="G96" i="10"/>
  <c r="G102" i="10"/>
  <c r="G42" i="10"/>
  <c r="G28" i="10"/>
  <c r="H25" i="10"/>
  <c r="H15" i="10"/>
  <c r="B16" i="28" s="1"/>
  <c r="H14" i="10"/>
  <c r="G14" i="10"/>
  <c r="H13" i="10"/>
  <c r="G13" i="10"/>
  <c r="H9" i="10"/>
  <c r="G9" i="10"/>
  <c r="G35" i="7"/>
  <c r="P25" i="7"/>
  <c r="G25" i="7"/>
  <c r="G18" i="7"/>
  <c r="P17" i="7"/>
  <c r="P16" i="7"/>
  <c r="P13" i="7"/>
  <c r="P12" i="7"/>
  <c r="P10" i="7"/>
  <c r="G73" i="8"/>
  <c r="M63" i="8"/>
  <c r="G63" i="8"/>
  <c r="G40" i="8"/>
  <c r="G27" i="8"/>
  <c r="G26" i="8"/>
  <c r="G17" i="8"/>
  <c r="B21" i="28" s="1"/>
  <c r="G13" i="8"/>
  <c r="G12" i="8"/>
  <c r="G8" i="8"/>
  <c r="G25" i="6"/>
  <c r="G18" i="6"/>
  <c r="G79" i="5"/>
  <c r="G73" i="5"/>
  <c r="G27" i="5"/>
  <c r="G11" i="5"/>
  <c r="G10" i="5"/>
  <c r="G19" i="5" s="1"/>
  <c r="M53" i="4"/>
  <c r="J225" i="28" s="1"/>
  <c r="R63" i="4"/>
  <c r="G28" i="4"/>
  <c r="G21" i="4"/>
  <c r="G30" i="3"/>
  <c r="G21" i="3"/>
  <c r="G15" i="3"/>
  <c r="F23" i="2"/>
  <c r="F17" i="2"/>
  <c r="F28" i="1"/>
  <c r="F21" i="1"/>
  <c r="H14" i="15"/>
  <c r="D12" i="15"/>
  <c r="D14" i="15" s="1"/>
  <c r="E7" i="15"/>
  <c r="E6" i="15"/>
  <c r="C34" i="18"/>
  <c r="B34" i="18"/>
  <c r="C30" i="18"/>
  <c r="D30" i="18" s="1"/>
  <c r="E30" i="18" s="1"/>
  <c r="B30" i="18"/>
  <c r="C29" i="18"/>
  <c r="B29" i="18"/>
  <c r="C28" i="18"/>
  <c r="B28" i="18"/>
  <c r="C27" i="18"/>
  <c r="B27" i="18"/>
  <c r="B31" i="18" s="1"/>
  <c r="D26" i="18"/>
  <c r="E26" i="18" s="1"/>
  <c r="C25" i="18"/>
  <c r="D25" i="18" s="1"/>
  <c r="E25" i="18" s="1"/>
  <c r="C24" i="18"/>
  <c r="C31" i="18" s="1"/>
  <c r="C16" i="18"/>
  <c r="C17" i="18" s="1"/>
  <c r="B16" i="18"/>
  <c r="B17" i="18" s="1"/>
  <c r="B19" i="18" s="1"/>
  <c r="E15" i="18"/>
  <c r="D15" i="18"/>
  <c r="D14" i="18"/>
  <c r="E14" i="18" s="1"/>
  <c r="D13" i="18"/>
  <c r="E13" i="18" s="1"/>
  <c r="C13" i="18"/>
  <c r="D12" i="18"/>
  <c r="C10" i="18"/>
  <c r="B10" i="18"/>
  <c r="E9" i="18"/>
  <c r="D9" i="18"/>
  <c r="E8" i="18"/>
  <c r="D8" i="18"/>
  <c r="E7" i="18"/>
  <c r="D7" i="18"/>
  <c r="E6" i="18"/>
  <c r="D6" i="18"/>
  <c r="D5" i="18"/>
  <c r="E5" i="18" s="1"/>
  <c r="C41" i="17"/>
  <c r="E39" i="17"/>
  <c r="D39" i="17"/>
  <c r="D38" i="17"/>
  <c r="D41" i="17" s="1"/>
  <c r="E34" i="17"/>
  <c r="E32" i="17"/>
  <c r="D32" i="17"/>
  <c r="D34" i="17" s="1"/>
  <c r="C29" i="17"/>
  <c r="C32" i="17" s="1"/>
  <c r="C34" i="17" s="1"/>
  <c r="E24" i="17"/>
  <c r="D24" i="17"/>
  <c r="C24" i="17"/>
  <c r="E13" i="17"/>
  <c r="D13" i="17"/>
  <c r="C13" i="17"/>
  <c r="C30" i="19"/>
  <c r="C33" i="19" s="1"/>
  <c r="C25" i="19"/>
  <c r="C22" i="19"/>
  <c r="C21" i="19"/>
  <c r="C20" i="19"/>
  <c r="C19" i="19"/>
  <c r="C16" i="19"/>
  <c r="N53" i="20"/>
  <c r="M52" i="20"/>
  <c r="M47" i="20" s="1"/>
  <c r="L52" i="20"/>
  <c r="K52" i="20"/>
  <c r="J52" i="20"/>
  <c r="I52" i="20"/>
  <c r="I47" i="20" s="1"/>
  <c r="H52" i="20"/>
  <c r="G52" i="20"/>
  <c r="F52" i="20"/>
  <c r="E52" i="20"/>
  <c r="E47" i="20" s="1"/>
  <c r="D52" i="20"/>
  <c r="C52" i="20"/>
  <c r="B52" i="20"/>
  <c r="N52" i="20" s="1"/>
  <c r="M51" i="20"/>
  <c r="L51" i="20"/>
  <c r="K51" i="20"/>
  <c r="J51" i="20"/>
  <c r="I51" i="20"/>
  <c r="H51" i="20"/>
  <c r="G51" i="20"/>
  <c r="F51" i="20"/>
  <c r="N51" i="20" s="1"/>
  <c r="E51" i="20"/>
  <c r="D51" i="20"/>
  <c r="C51" i="20"/>
  <c r="M50" i="20"/>
  <c r="L50" i="20"/>
  <c r="K50" i="20"/>
  <c r="J50" i="20"/>
  <c r="J47" i="20" s="1"/>
  <c r="J54" i="20" s="1"/>
  <c r="I50" i="20"/>
  <c r="H50" i="20"/>
  <c r="G50" i="20"/>
  <c r="F50" i="20"/>
  <c r="F47" i="20" s="1"/>
  <c r="F54" i="20" s="1"/>
  <c r="E50" i="20"/>
  <c r="D50" i="20"/>
  <c r="C50" i="20"/>
  <c r="N49" i="20"/>
  <c r="M48" i="20"/>
  <c r="L48" i="20"/>
  <c r="K48" i="20"/>
  <c r="K47" i="20" s="1"/>
  <c r="K54" i="20" s="1"/>
  <c r="J48" i="20"/>
  <c r="I48" i="20"/>
  <c r="H48" i="20"/>
  <c r="G48" i="20"/>
  <c r="G47" i="20" s="1"/>
  <c r="G54" i="20" s="1"/>
  <c r="F48" i="20"/>
  <c r="E48" i="20"/>
  <c r="D48" i="20"/>
  <c r="C48" i="20"/>
  <c r="C47" i="20" s="1"/>
  <c r="C54" i="20" s="1"/>
  <c r="B48" i="20"/>
  <c r="N48" i="20" s="1"/>
  <c r="L47" i="20"/>
  <c r="L54" i="20" s="1"/>
  <c r="H47" i="20"/>
  <c r="D47" i="20"/>
  <c r="D54" i="20" s="1"/>
  <c r="B47" i="20"/>
  <c r="B54" i="20" s="1"/>
  <c r="N45" i="20"/>
  <c r="N44" i="20"/>
  <c r="N43" i="20"/>
  <c r="N42" i="20"/>
  <c r="N41" i="20"/>
  <c r="N40" i="20"/>
  <c r="N39" i="20"/>
  <c r="D38" i="20"/>
  <c r="C38" i="20"/>
  <c r="C32" i="20" s="1"/>
  <c r="B38" i="20"/>
  <c r="N38" i="20" s="1"/>
  <c r="L37" i="20"/>
  <c r="H37" i="20"/>
  <c r="G37" i="20"/>
  <c r="E37" i="20"/>
  <c r="D37" i="20"/>
  <c r="N37" i="20" s="1"/>
  <c r="L36" i="20"/>
  <c r="K36" i="20"/>
  <c r="J36" i="20"/>
  <c r="I36" i="20"/>
  <c r="H36" i="20"/>
  <c r="G36" i="20"/>
  <c r="F36" i="20"/>
  <c r="E36" i="20"/>
  <c r="N36" i="20" s="1"/>
  <c r="D36" i="20"/>
  <c r="C36" i="20"/>
  <c r="B36" i="20"/>
  <c r="L35" i="20"/>
  <c r="J35" i="20"/>
  <c r="I35" i="20"/>
  <c r="H35" i="20"/>
  <c r="H32" i="20" s="1"/>
  <c r="G35" i="20"/>
  <c r="F35" i="20"/>
  <c r="E35" i="20"/>
  <c r="D35" i="20"/>
  <c r="D32" i="20" s="1"/>
  <c r="L34" i="20"/>
  <c r="K34" i="20"/>
  <c r="J34" i="20"/>
  <c r="I34" i="20"/>
  <c r="H34" i="20"/>
  <c r="G34" i="20"/>
  <c r="F34" i="20"/>
  <c r="E34" i="20"/>
  <c r="D34" i="20"/>
  <c r="N34" i="20" s="1"/>
  <c r="M33" i="20"/>
  <c r="M32" i="20" s="1"/>
  <c r="L33" i="20"/>
  <c r="K33" i="20"/>
  <c r="J33" i="20"/>
  <c r="I33" i="20"/>
  <c r="I32" i="20" s="1"/>
  <c r="H33" i="20"/>
  <c r="G33" i="20"/>
  <c r="F33" i="20"/>
  <c r="E33" i="20"/>
  <c r="E32" i="20" s="1"/>
  <c r="D33" i="20"/>
  <c r="C33" i="20"/>
  <c r="B33" i="20"/>
  <c r="N33" i="20" s="1"/>
  <c r="L32" i="20"/>
  <c r="K32" i="20"/>
  <c r="J32" i="20"/>
  <c r="G32" i="20"/>
  <c r="F32" i="20"/>
  <c r="B32" i="20"/>
  <c r="J30" i="20"/>
  <c r="B30" i="20"/>
  <c r="N29" i="20"/>
  <c r="N28" i="20"/>
  <c r="E27" i="20"/>
  <c r="N27" i="20" s="1"/>
  <c r="G26" i="20"/>
  <c r="F26" i="20"/>
  <c r="E26" i="20"/>
  <c r="N26" i="20" s="1"/>
  <c r="L25" i="20"/>
  <c r="J25" i="20"/>
  <c r="I25" i="20"/>
  <c r="H25" i="20"/>
  <c r="G25" i="20"/>
  <c r="F25" i="20"/>
  <c r="E25" i="20"/>
  <c r="H23" i="20"/>
  <c r="G23" i="20"/>
  <c r="F23" i="20"/>
  <c r="E23" i="20"/>
  <c r="N23" i="20" s="1"/>
  <c r="N22" i="20"/>
  <c r="H21" i="20"/>
  <c r="H18" i="20" s="1"/>
  <c r="H30" i="20" s="1"/>
  <c r="G21" i="20"/>
  <c r="F21" i="20"/>
  <c r="E21" i="20"/>
  <c r="N21" i="20" s="1"/>
  <c r="N20" i="20"/>
  <c r="H19" i="20"/>
  <c r="G19" i="20"/>
  <c r="F19" i="20"/>
  <c r="F18" i="20" s="1"/>
  <c r="F30" i="20" s="1"/>
  <c r="F57" i="20" s="1"/>
  <c r="E19" i="20"/>
  <c r="N19" i="20" s="1"/>
  <c r="N18" i="20" s="1"/>
  <c r="M18" i="20"/>
  <c r="M30" i="20" s="1"/>
  <c r="L18" i="20"/>
  <c r="L30" i="20" s="1"/>
  <c r="J18" i="20"/>
  <c r="I18" i="20"/>
  <c r="I30" i="20" s="1"/>
  <c r="G18" i="20"/>
  <c r="G30" i="20" s="1"/>
  <c r="G57" i="20" s="1"/>
  <c r="E18" i="20"/>
  <c r="E30" i="20" s="1"/>
  <c r="D18" i="20"/>
  <c r="D30" i="20" s="1"/>
  <c r="C18" i="20"/>
  <c r="C30" i="20" s="1"/>
  <c r="B18" i="20"/>
  <c r="B15" i="20"/>
  <c r="N15" i="20" s="1"/>
  <c r="N14" i="20"/>
  <c r="B14" i="20"/>
  <c r="N13" i="20"/>
  <c r="B12" i="20"/>
  <c r="N12" i="20" s="1"/>
  <c r="N11" i="20"/>
  <c r="N10" i="20"/>
  <c r="B10" i="20"/>
  <c r="N9" i="20"/>
  <c r="B9" i="20"/>
  <c r="N8" i="20"/>
  <c r="B7" i="20"/>
  <c r="B4" i="20" s="1"/>
  <c r="N6" i="20"/>
  <c r="N5" i="20"/>
  <c r="M4" i="20"/>
  <c r="L4" i="20"/>
  <c r="J4" i="20"/>
  <c r="I4" i="20"/>
  <c r="H4" i="20"/>
  <c r="G4" i="20"/>
  <c r="F4" i="20"/>
  <c r="E4" i="20"/>
  <c r="D4" i="20"/>
  <c r="C4" i="20"/>
  <c r="F307" i="28" l="1"/>
  <c r="F309" i="28" s="1"/>
  <c r="H301" i="28"/>
  <c r="H307" i="28" s="1"/>
  <c r="H309" i="28" s="1"/>
  <c r="B35" i="28"/>
  <c r="B36" i="28"/>
  <c r="B15" i="28"/>
  <c r="B20" i="28"/>
  <c r="B22" i="28"/>
  <c r="J115" i="10"/>
  <c r="D261" i="28" s="1"/>
  <c r="D260" i="28" s="1"/>
  <c r="B261" i="28"/>
  <c r="B260" i="28" s="1"/>
  <c r="M93" i="4"/>
  <c r="M103" i="4" s="1"/>
  <c r="G10" i="15"/>
  <c r="G14" i="15" s="1"/>
  <c r="L77" i="9"/>
  <c r="N38" i="9"/>
  <c r="N39" i="9" s="1"/>
  <c r="M39" i="9"/>
  <c r="N96" i="9"/>
  <c r="G32" i="8"/>
  <c r="H54" i="20"/>
  <c r="E54" i="20"/>
  <c r="I54" i="20"/>
  <c r="M54" i="20"/>
  <c r="N25" i="20"/>
  <c r="N30" i="20"/>
  <c r="E57" i="20"/>
  <c r="N47" i="20"/>
  <c r="N35" i="20"/>
  <c r="N32" i="20" s="1"/>
  <c r="N50" i="20"/>
  <c r="N7" i="20"/>
  <c r="N4" i="20" s="1"/>
  <c r="D10" i="18"/>
  <c r="E10" i="18" s="1"/>
  <c r="E12" i="18"/>
  <c r="D16" i="18"/>
  <c r="E16" i="18" s="1"/>
  <c r="C19" i="18"/>
  <c r="E38" i="17"/>
  <c r="E41" i="17" s="1"/>
  <c r="N53" i="4"/>
  <c r="K225" i="28" s="1"/>
  <c r="I25" i="9"/>
  <c r="K25" i="9"/>
  <c r="I24" i="9"/>
  <c r="K24" i="9"/>
  <c r="I11" i="9"/>
  <c r="K11" i="9"/>
  <c r="I22" i="9"/>
  <c r="K22" i="9"/>
  <c r="I5" i="9"/>
  <c r="K5" i="9"/>
  <c r="I8" i="9"/>
  <c r="K8" i="9"/>
  <c r="I13" i="9"/>
  <c r="K13" i="9"/>
  <c r="K23" i="9"/>
  <c r="I23" i="9"/>
  <c r="K80" i="9"/>
  <c r="K87" i="9" s="1"/>
  <c r="G87" i="9"/>
  <c r="I80" i="9"/>
  <c r="I87" i="9" s="1"/>
  <c r="I9" i="9"/>
  <c r="K9" i="9"/>
  <c r="G27" i="7"/>
  <c r="G38" i="7" s="1"/>
  <c r="G58" i="7" s="1"/>
  <c r="G27" i="6"/>
  <c r="G44" i="6" s="1"/>
  <c r="P18" i="6"/>
  <c r="K10" i="5"/>
  <c r="R10" i="5"/>
  <c r="R19" i="5" s="1"/>
  <c r="I10" i="5"/>
  <c r="I11" i="5"/>
  <c r="R11" i="5"/>
  <c r="K11" i="5"/>
  <c r="H54" i="1"/>
  <c r="D220" i="28" s="1"/>
  <c r="J54" i="1"/>
  <c r="F220" i="28" s="1"/>
  <c r="H220" i="28" s="1"/>
  <c r="H51" i="1"/>
  <c r="D217" i="28" s="1"/>
  <c r="J51" i="1"/>
  <c r="F217" i="28" s="1"/>
  <c r="H217" i="28" s="1"/>
  <c r="J53" i="1"/>
  <c r="F219" i="28" s="1"/>
  <c r="H219" i="28" s="1"/>
  <c r="H53" i="1"/>
  <c r="D219" i="28" s="1"/>
  <c r="I10" i="11"/>
  <c r="K10" i="11"/>
  <c r="M10" i="11" s="1"/>
  <c r="K11" i="11"/>
  <c r="M11" i="11" s="1"/>
  <c r="I11" i="11"/>
  <c r="I22" i="11"/>
  <c r="K22" i="11"/>
  <c r="M22" i="11" s="1"/>
  <c r="M24" i="11" s="1"/>
  <c r="I7" i="11"/>
  <c r="K7" i="11"/>
  <c r="M7" i="11" s="1"/>
  <c r="G29" i="12"/>
  <c r="G36" i="12" s="1"/>
  <c r="G52" i="12" s="1"/>
  <c r="K41" i="5"/>
  <c r="I41" i="5"/>
  <c r="K27" i="8"/>
  <c r="I27" i="8"/>
  <c r="K8" i="8"/>
  <c r="I8" i="8"/>
  <c r="I17" i="8"/>
  <c r="D21" i="28" s="1"/>
  <c r="K17" i="8"/>
  <c r="F21" i="28" s="1"/>
  <c r="H21" i="28" s="1"/>
  <c r="I26" i="8"/>
  <c r="K26" i="8"/>
  <c r="K12" i="8"/>
  <c r="I12" i="8"/>
  <c r="K13" i="8"/>
  <c r="I13" i="8"/>
  <c r="P21" i="4"/>
  <c r="R21" i="4"/>
  <c r="L13" i="10"/>
  <c r="J13" i="10"/>
  <c r="L115" i="10"/>
  <c r="F261" i="28" s="1"/>
  <c r="L14" i="10"/>
  <c r="J14" i="10"/>
  <c r="J15" i="10"/>
  <c r="D16" i="28" s="1"/>
  <c r="L15" i="10"/>
  <c r="F16" i="28" s="1"/>
  <c r="H16" i="28" s="1"/>
  <c r="L9" i="10"/>
  <c r="J9" i="10"/>
  <c r="H28" i="10"/>
  <c r="L25" i="10"/>
  <c r="J25" i="10"/>
  <c r="G22" i="8"/>
  <c r="G24" i="11"/>
  <c r="G18" i="11"/>
  <c r="G26" i="9"/>
  <c r="H139" i="10"/>
  <c r="H147" i="10" s="1"/>
  <c r="H22" i="10"/>
  <c r="G22" i="10"/>
  <c r="G30" i="10" s="1"/>
  <c r="G77" i="10" s="1"/>
  <c r="G108" i="10" s="1"/>
  <c r="G110" i="10" s="1"/>
  <c r="G119" i="10" s="1"/>
  <c r="H127" i="10"/>
  <c r="H137" i="10" s="1"/>
  <c r="H117" i="10"/>
  <c r="M60" i="7"/>
  <c r="E14" i="15"/>
  <c r="G30" i="4"/>
  <c r="B36" i="18"/>
  <c r="B38" i="18" s="1"/>
  <c r="F24" i="2"/>
  <c r="F29" i="1"/>
  <c r="D34" i="18"/>
  <c r="E34" i="18" s="1"/>
  <c r="D27" i="18"/>
  <c r="E27" i="18" s="1"/>
  <c r="G23" i="3"/>
  <c r="D29" i="18"/>
  <c r="E29" i="18" s="1"/>
  <c r="D24" i="18"/>
  <c r="E24" i="18" s="1"/>
  <c r="G30" i="18"/>
  <c r="D31" i="18"/>
  <c r="E31" i="18" s="1"/>
  <c r="G24" i="18"/>
  <c r="G31" i="18" s="1"/>
  <c r="G26" i="18"/>
  <c r="C36" i="18"/>
  <c r="G29" i="18"/>
  <c r="G28" i="18"/>
  <c r="G25" i="18"/>
  <c r="G27" i="18"/>
  <c r="D28" i="18"/>
  <c r="E28" i="18" s="1"/>
  <c r="G20" i="9"/>
  <c r="K262" i="28"/>
  <c r="F260" i="28" l="1"/>
  <c r="H261" i="28"/>
  <c r="H260" i="28" s="1"/>
  <c r="M18" i="11"/>
  <c r="M26" i="11" s="1"/>
  <c r="D35" i="28"/>
  <c r="F35" i="28"/>
  <c r="H35" i="28" s="1"/>
  <c r="D22" i="28"/>
  <c r="K19" i="5"/>
  <c r="J117" i="10"/>
  <c r="B40" i="28"/>
  <c r="K303" i="28"/>
  <c r="K307" i="28" s="1"/>
  <c r="K309" i="28" s="1"/>
  <c r="L90" i="9"/>
  <c r="F22" i="28"/>
  <c r="H22" i="28" s="1"/>
  <c r="I32" i="8"/>
  <c r="B31" i="28"/>
  <c r="F20" i="28"/>
  <c r="H20" i="28" s="1"/>
  <c r="D15" i="28"/>
  <c r="D20" i="28"/>
  <c r="F15" i="28"/>
  <c r="H15" i="28" s="1"/>
  <c r="I24" i="11"/>
  <c r="D36" i="28"/>
  <c r="K24" i="11"/>
  <c r="F36" i="28"/>
  <c r="H36" i="28" s="1"/>
  <c r="G49" i="6"/>
  <c r="L41" i="5"/>
  <c r="L64" i="5" s="1"/>
  <c r="N93" i="4"/>
  <c r="N103" i="4" s="1"/>
  <c r="N87" i="9"/>
  <c r="K32" i="8"/>
  <c r="K51" i="1"/>
  <c r="I217" i="28" s="1"/>
  <c r="K53" i="1"/>
  <c r="I219" i="28" s="1"/>
  <c r="K54" i="1"/>
  <c r="I220" i="28" s="1"/>
  <c r="D19" i="18"/>
  <c r="E19" i="18" s="1"/>
  <c r="G12" i="18"/>
  <c r="G5" i="18"/>
  <c r="G14" i="18"/>
  <c r="G17" i="18"/>
  <c r="G10" i="18"/>
  <c r="N54" i="20"/>
  <c r="N56" i="20" s="1"/>
  <c r="D17" i="18"/>
  <c r="E17" i="18" s="1"/>
  <c r="P11" i="7"/>
  <c r="G28" i="9"/>
  <c r="G62" i="9" s="1"/>
  <c r="K20" i="9"/>
  <c r="K26" i="9"/>
  <c r="I20" i="9"/>
  <c r="I26" i="9"/>
  <c r="P15" i="7"/>
  <c r="G60" i="7"/>
  <c r="K38" i="7"/>
  <c r="K58" i="7" s="1"/>
  <c r="K60" i="7" s="1"/>
  <c r="I38" i="7"/>
  <c r="I44" i="6"/>
  <c r="K44" i="6"/>
  <c r="G28" i="5"/>
  <c r="G38" i="5" s="1"/>
  <c r="R28" i="5"/>
  <c r="I19" i="5"/>
  <c r="I28" i="5" s="1"/>
  <c r="K28" i="5"/>
  <c r="G45" i="3"/>
  <c r="K33" i="3"/>
  <c r="K43" i="3" s="1"/>
  <c r="I33" i="3"/>
  <c r="H42" i="1"/>
  <c r="H45" i="1"/>
  <c r="D171" i="28" s="1"/>
  <c r="J45" i="1"/>
  <c r="F171" i="28" s="1"/>
  <c r="H171" i="28" s="1"/>
  <c r="J46" i="1"/>
  <c r="F172" i="28" s="1"/>
  <c r="H172" i="28" s="1"/>
  <c r="H46" i="1"/>
  <c r="D172" i="28" s="1"/>
  <c r="H44" i="1"/>
  <c r="D170" i="28" s="1"/>
  <c r="J44" i="1"/>
  <c r="F170" i="28" s="1"/>
  <c r="H170" i="28" s="1"/>
  <c r="H58" i="1"/>
  <c r="D224" i="28" s="1"/>
  <c r="J58" i="1"/>
  <c r="F224" i="28" s="1"/>
  <c r="H224" i="28" s="1"/>
  <c r="K18" i="11"/>
  <c r="H55" i="1"/>
  <c r="D221" i="28" s="1"/>
  <c r="J55" i="1"/>
  <c r="F221" i="28" s="1"/>
  <c r="H221" i="28" s="1"/>
  <c r="J52" i="1"/>
  <c r="F218" i="28" s="1"/>
  <c r="H218" i="28" s="1"/>
  <c r="H52" i="1"/>
  <c r="D218" i="28" s="1"/>
  <c r="H57" i="1"/>
  <c r="D223" i="28" s="1"/>
  <c r="J57" i="1"/>
  <c r="I18" i="11"/>
  <c r="G34" i="8"/>
  <c r="G50" i="8" s="1"/>
  <c r="I22" i="8"/>
  <c r="K22" i="8"/>
  <c r="H30" i="10"/>
  <c r="L28" i="10"/>
  <c r="L22" i="10"/>
  <c r="J28" i="10"/>
  <c r="J22" i="10"/>
  <c r="L117" i="10"/>
  <c r="F14" i="15" s="1"/>
  <c r="K36" i="12"/>
  <c r="K52" i="12" s="1"/>
  <c r="K54" i="12" s="1"/>
  <c r="I36" i="12"/>
  <c r="I52" i="12" s="1"/>
  <c r="I54" i="12" s="1"/>
  <c r="G54" i="12"/>
  <c r="G41" i="4"/>
  <c r="G93" i="4" s="1"/>
  <c r="G26" i="11"/>
  <c r="F32" i="2"/>
  <c r="F39" i="2" s="1"/>
  <c r="C38" i="18"/>
  <c r="C42" i="18" s="1"/>
  <c r="D36" i="18"/>
  <c r="H31" i="28" l="1"/>
  <c r="H40" i="28"/>
  <c r="D40" i="28"/>
  <c r="F40" i="28"/>
  <c r="I58" i="7"/>
  <c r="I60" i="7" s="1"/>
  <c r="B42" i="28"/>
  <c r="B56" i="28" s="1"/>
  <c r="G47" i="8" s="1"/>
  <c r="B149" i="28" s="1"/>
  <c r="B250" i="28" s="1"/>
  <c r="M41" i="5"/>
  <c r="N41" i="5" s="1"/>
  <c r="F31" i="28"/>
  <c r="F42" i="28" s="1"/>
  <c r="I26" i="11"/>
  <c r="D31" i="28"/>
  <c r="K26" i="11"/>
  <c r="H77" i="10"/>
  <c r="H108" i="10" s="1"/>
  <c r="G75" i="9"/>
  <c r="K49" i="6"/>
  <c r="K51" i="6" s="1"/>
  <c r="L67" i="5"/>
  <c r="C6" i="15"/>
  <c r="L53" i="1"/>
  <c r="J219" i="28" s="1"/>
  <c r="K58" i="1"/>
  <c r="I224" i="28" s="1"/>
  <c r="L54" i="1"/>
  <c r="J220" i="28" s="1"/>
  <c r="L51" i="1"/>
  <c r="J217" i="28" s="1"/>
  <c r="I43" i="3"/>
  <c r="I45" i="3" s="1"/>
  <c r="H59" i="1"/>
  <c r="H62" i="1" s="1"/>
  <c r="I49" i="6"/>
  <c r="I51" i="6" s="1"/>
  <c r="N110" i="10"/>
  <c r="N119" i="10" s="1"/>
  <c r="J59" i="1"/>
  <c r="I28" i="9"/>
  <c r="I62" i="9" s="1"/>
  <c r="K28" i="9"/>
  <c r="K62" i="9" s="1"/>
  <c r="J30" i="10"/>
  <c r="J77" i="10" s="1"/>
  <c r="J108" i="10" s="1"/>
  <c r="I9" i="15"/>
  <c r="J9" i="15" s="1"/>
  <c r="N60" i="7"/>
  <c r="P18" i="7"/>
  <c r="P27" i="7" s="1"/>
  <c r="K34" i="8"/>
  <c r="G64" i="5"/>
  <c r="I38" i="5"/>
  <c r="I64" i="5" s="1"/>
  <c r="I67" i="5" s="1"/>
  <c r="I75" i="5" s="1"/>
  <c r="K38" i="5"/>
  <c r="K64" i="5" s="1"/>
  <c r="I5" i="15"/>
  <c r="J5" i="15" s="1"/>
  <c r="K45" i="3"/>
  <c r="J32" i="2"/>
  <c r="J39" i="2" s="1"/>
  <c r="H32" i="2"/>
  <c r="I34" i="8"/>
  <c r="I50" i="8" s="1"/>
  <c r="L30" i="10"/>
  <c r="L77" i="10" s="1"/>
  <c r="L108" i="10" s="1"/>
  <c r="K41" i="4"/>
  <c r="K93" i="4" s="1"/>
  <c r="I41" i="4"/>
  <c r="I93" i="4" s="1"/>
  <c r="M77" i="9"/>
  <c r="M90" i="9" s="1"/>
  <c r="G34" i="11"/>
  <c r="G67" i="11" s="1"/>
  <c r="G103" i="4"/>
  <c r="F62" i="1"/>
  <c r="D38" i="18"/>
  <c r="E36" i="18"/>
  <c r="H42" i="28" l="1"/>
  <c r="H56" i="28" s="1"/>
  <c r="D42" i="28"/>
  <c r="D56" i="28" s="1"/>
  <c r="K50" i="8"/>
  <c r="L75" i="5"/>
  <c r="M64" i="5"/>
  <c r="M67" i="5" s="1"/>
  <c r="M75" i="5" s="1"/>
  <c r="F56" i="28"/>
  <c r="N64" i="5"/>
  <c r="N67" i="5" s="1"/>
  <c r="N75" i="5" s="1"/>
  <c r="N49" i="6"/>
  <c r="N51" i="6" s="1"/>
  <c r="M49" i="6"/>
  <c r="M51" i="6" s="1"/>
  <c r="L46" i="1"/>
  <c r="J172" i="28" s="1"/>
  <c r="M51" i="1"/>
  <c r="K217" i="28" s="1"/>
  <c r="M54" i="1"/>
  <c r="K220" i="28" s="1"/>
  <c r="M53" i="1"/>
  <c r="K219" i="28" s="1"/>
  <c r="L45" i="1"/>
  <c r="J171" i="28" s="1"/>
  <c r="L58" i="1"/>
  <c r="J224" i="28" s="1"/>
  <c r="K59" i="1"/>
  <c r="L44" i="1"/>
  <c r="J170" i="28" s="1"/>
  <c r="G57" i="8"/>
  <c r="K75" i="9"/>
  <c r="K77" i="9" s="1"/>
  <c r="K90" i="9" s="1"/>
  <c r="H39" i="2"/>
  <c r="H42" i="2" s="1"/>
  <c r="L110" i="10"/>
  <c r="I75" i="9"/>
  <c r="I77" i="9" s="1"/>
  <c r="I90" i="9" s="1"/>
  <c r="J110" i="10"/>
  <c r="J119" i="10" s="1"/>
  <c r="O110" i="10"/>
  <c r="O119" i="10" s="1"/>
  <c r="K67" i="5"/>
  <c r="K75" i="5" s="1"/>
  <c r="I6" i="15"/>
  <c r="J6" i="15" s="1"/>
  <c r="J42" i="2"/>
  <c r="J62" i="1"/>
  <c r="G82" i="11"/>
  <c r="K34" i="11"/>
  <c r="I34" i="11"/>
  <c r="I67" i="11" s="1"/>
  <c r="I12" i="15"/>
  <c r="J12" i="15" s="1"/>
  <c r="I13" i="15"/>
  <c r="J13" i="15" s="1"/>
  <c r="B14" i="15"/>
  <c r="H110" i="10"/>
  <c r="H119" i="10" s="1"/>
  <c r="I103" i="4"/>
  <c r="K47" i="8"/>
  <c r="F149" i="28" s="1"/>
  <c r="I47" i="8"/>
  <c r="D149" i="28" s="1"/>
  <c r="G67" i="5"/>
  <c r="G75" i="5" s="1"/>
  <c r="I3" i="15"/>
  <c r="J3" i="15" s="1"/>
  <c r="F42" i="2"/>
  <c r="F250" i="28" l="1"/>
  <c r="H149" i="28"/>
  <c r="H250" i="28" s="1"/>
  <c r="M34" i="11"/>
  <c r="M67" i="11" s="1"/>
  <c r="K67" i="11"/>
  <c r="C2" i="15"/>
  <c r="I2" i="15" s="1"/>
  <c r="J2" i="15" s="1"/>
  <c r="K62" i="1"/>
  <c r="B272" i="28"/>
  <c r="B311" i="28" s="1"/>
  <c r="B254" i="28"/>
  <c r="D190" i="28"/>
  <c r="D250" i="28" s="1"/>
  <c r="I57" i="8"/>
  <c r="I59" i="8" s="1"/>
  <c r="I65" i="8" s="1"/>
  <c r="K57" i="8"/>
  <c r="K59" i="8" s="1"/>
  <c r="K65" i="8" s="1"/>
  <c r="L47" i="8"/>
  <c r="M46" i="1"/>
  <c r="K172" i="28" s="1"/>
  <c r="M45" i="1"/>
  <c r="K171" i="28" s="1"/>
  <c r="M58" i="1"/>
  <c r="K224" i="28" s="1"/>
  <c r="L59" i="1"/>
  <c r="L62" i="1" s="1"/>
  <c r="M44" i="1"/>
  <c r="K170" i="28" s="1"/>
  <c r="N77" i="9"/>
  <c r="N90" i="9" s="1"/>
  <c r="I82" i="11"/>
  <c r="L119" i="10"/>
  <c r="I11" i="15"/>
  <c r="J11" i="15" s="1"/>
  <c r="K82" i="11"/>
  <c r="K103" i="4"/>
  <c r="I4" i="15"/>
  <c r="J4" i="15" s="1"/>
  <c r="G59" i="8"/>
  <c r="G77" i="9"/>
  <c r="G90" i="9" s="1"/>
  <c r="I10" i="15"/>
  <c r="J10" i="15" s="1"/>
  <c r="G51" i="6"/>
  <c r="H254" i="28" l="1"/>
  <c r="H272" i="28"/>
  <c r="H311" i="28" s="1"/>
  <c r="I149" i="28"/>
  <c r="I250" i="28" s="1"/>
  <c r="F254" i="28"/>
  <c r="D272" i="28"/>
  <c r="D311" i="28" s="1"/>
  <c r="D254" i="28"/>
  <c r="M47" i="8"/>
  <c r="J149" i="28" s="1"/>
  <c r="J250" i="28" s="1"/>
  <c r="L57" i="8"/>
  <c r="M59" i="1"/>
  <c r="M62" i="1" s="1"/>
  <c r="G65" i="8"/>
  <c r="I8" i="15"/>
  <c r="I272" i="28" l="1"/>
  <c r="C9" i="26"/>
  <c r="C11" i="26" s="1"/>
  <c r="F272" i="28"/>
  <c r="F311" i="28" s="1"/>
  <c r="L59" i="8"/>
  <c r="C7" i="15"/>
  <c r="I7" i="15" s="1"/>
  <c r="J7" i="15" s="1"/>
  <c r="N47" i="8"/>
  <c r="K149" i="28" s="1"/>
  <c r="K250" i="28" s="1"/>
  <c r="M57" i="8"/>
  <c r="M59" i="8" s="1"/>
  <c r="M65" i="8" s="1"/>
  <c r="J8" i="15"/>
  <c r="L65" i="8" l="1"/>
  <c r="B4" i="26"/>
  <c r="B3" i="26"/>
  <c r="I254" i="28"/>
  <c r="C14" i="15"/>
  <c r="I14" i="15"/>
  <c r="J14" i="15"/>
  <c r="N57" i="8"/>
  <c r="N59" i="8" s="1"/>
  <c r="N65" i="8" s="1"/>
  <c r="B5" i="26"/>
  <c r="B8" i="26"/>
  <c r="B7" i="26"/>
  <c r="B6" i="26"/>
  <c r="B9" i="26"/>
  <c r="C13" i="26" l="1"/>
  <c r="I311" i="28"/>
  <c r="K272" i="28"/>
  <c r="K311" i="28" s="1"/>
  <c r="J254" i="28"/>
  <c r="J272" i="28"/>
  <c r="J311" i="28" s="1"/>
  <c r="B11" i="26"/>
  <c r="K254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4" authorId="0" shapeId="0" xr:uid="{229B1DF3-83F3-4E61-B75D-045E5D40D352}">
      <text>
        <r>
          <rPr>
            <sz val="11"/>
            <color theme="1"/>
            <rFont val="Calibri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Expenditure to be moved to a control account</t>
        </r>
      </text>
    </comment>
  </commentList>
</comments>
</file>

<file path=xl/sharedStrings.xml><?xml version="1.0" encoding="utf-8"?>
<sst xmlns="http://schemas.openxmlformats.org/spreadsheetml/2006/main" count="2787" uniqueCount="1322">
  <si>
    <t>Thabo Mofutsanyana District Municipality</t>
  </si>
  <si>
    <t>Budgets</t>
  </si>
  <si>
    <t>Account</t>
  </si>
  <si>
    <t>Account Type  :  Other Expense</t>
  </si>
  <si>
    <t>PO10000/IE10078/FD10017/FX10042/RX10021/CO10000/101010</t>
  </si>
  <si>
    <t>SKILLS DEVELOPMENT</t>
  </si>
  <si>
    <t>PO10000/IE10086/FD10017/FX10042/RX10021/CO10000/101010</t>
  </si>
  <si>
    <t>TRAVELLING-TRAVEL AGENCY AND VISA's</t>
  </si>
  <si>
    <t>PO10000/IE10282/FD10017/FX10042/RX10022/CO10000/101010</t>
  </si>
  <si>
    <t>TRAINING WARD COMMITTEES-TRANSPORT - EVENTS</t>
  </si>
  <si>
    <t>PO10000/IE10349/FD10017/FX10042/RX10021/CO10000/101010</t>
  </si>
  <si>
    <t>BASIC SALARY</t>
  </si>
  <si>
    <t>PO10000/IE10353/FD10017/FX10042/RX10021/CO10000/101010</t>
  </si>
  <si>
    <t>LEVY SLGBC</t>
  </si>
  <si>
    <t>PO10000/IE10356/FD10017/FX10042/RX10021/CO10000/101010</t>
  </si>
  <si>
    <t>MEDICAL AID FUND</t>
  </si>
  <si>
    <t>PO10000/IE10357/FD10017/FX10042/RX10021/CO10000/101010</t>
  </si>
  <si>
    <t>PENSION FUND</t>
  </si>
  <si>
    <t>PO10000/IE10358/FD10017/FX10042/RX10021/CO10000/101010</t>
  </si>
  <si>
    <t>UNEMPLOYMENT INSURANCE</t>
  </si>
  <si>
    <t>PO10000/IE10373/FD10017/FX10042/RX10021/CO10000/101010</t>
  </si>
  <si>
    <t>TRAVELLING-ACCOMMODATION</t>
  </si>
  <si>
    <t>PO10000/IE10374/FD10017/FX10042/RX10021/CO10000/101010</t>
  </si>
  <si>
    <t>TRAVELLING-DAILY ALLOWANCE</t>
  </si>
  <si>
    <t>PO10000/IE10795/FD10017/FX10042/RX10021/CO10000/101010</t>
  </si>
  <si>
    <t>ALLOWANCE - CELL PHONE</t>
  </si>
  <si>
    <t>PO10000/IE10800/FD10017/FX10042/RX10021/CO10000/101010</t>
  </si>
  <si>
    <t>ALLOWANCE - TRAVELLING</t>
  </si>
  <si>
    <t>PO10000/IE11981/FD10017/FX10042/RX10021/CO10000/101010</t>
  </si>
  <si>
    <t>ALLOWANCE - HOUSING - RENTAL</t>
  </si>
  <si>
    <t>PO10000/IE11984/FD10017/FX10042/RX10021/CO10000/101010</t>
  </si>
  <si>
    <t>ANNUAL BONUS</t>
  </si>
  <si>
    <t>PO10064/IE10149/FD10017/FX10042/RX10022/CO10000/101010</t>
  </si>
  <si>
    <t>PUBLIC PARTICIPATION-CATERING SERVICES</t>
  </si>
  <si>
    <t>PO10064/IE10282/FD10017/FX10042/RX10022/CO10000/101010</t>
  </si>
  <si>
    <t>PUBLIC PARTICIPATION-TRANSPORT-EVENTS</t>
  </si>
  <si>
    <t>Totals for Account Type  :  Other Expense</t>
  </si>
  <si>
    <t>Totals</t>
  </si>
  <si>
    <t>Evolution (Registered to Thabo Mofustanyana District Municipality)</t>
  </si>
  <si>
    <t>PO10000/IE10078/FD10017/FX10042/RX10021/CO10000/101020</t>
  </si>
  <si>
    <t>PO10000/IE10086/FD10017/FX10042/RX10021/CO10000/101020</t>
  </si>
  <si>
    <t>PO10000/IE10349/FD10017/FX10042/RX10021/CO10000/101020</t>
  </si>
  <si>
    <t>PO10000/IE10373/FD10017/FX10042/RX10021/CO10000/101020</t>
  </si>
  <si>
    <t>TRAVELLING-ACCOMODATION</t>
  </si>
  <si>
    <t>PO10000/IE10795/FD10017/FX10042/RX10021/CO10000/101020</t>
  </si>
  <si>
    <t>PO10000/IE10078/FD10017/FX10042/RX10021/CO10000/101030</t>
  </si>
  <si>
    <t>PO10000/IE10086/FD10017/FX10042/RX10021/CO10000/101030</t>
  </si>
  <si>
    <t>PO10000/IE10373/FD10017/FX10042/RX10021/CO10000/101030</t>
  </si>
  <si>
    <t>PO10000/IE10374/FD10017/FX10042/RX10021/CO10000/101030</t>
  </si>
  <si>
    <t>PO10000/IE10375/FD10017/FX10042/RX10021/CO10000/101030</t>
  </si>
  <si>
    <t>TRAVELLING-FOOD AND BEVERAGE (Served)</t>
  </si>
  <si>
    <t>PO10000/IE10406/FD10017/FX10042/RX10021/CO10000/101030</t>
  </si>
  <si>
    <t>ALLOWANCE - CELLPHONE</t>
  </si>
  <si>
    <t>PO10000/IE10414/FD10017/FX10042/RX10021/CO10000/101030</t>
  </si>
  <si>
    <t>SITTING ALLOWANCE</t>
  </si>
  <si>
    <t>PO10000/IE10415/FD10017/FX10042/RX10021/CO10000/101030</t>
  </si>
  <si>
    <t>MEDICAL AID FUND - COUCILLORS</t>
  </si>
  <si>
    <t>PO10000/IE10416/FD10017/FX10042/RX10021/CO10000/101030</t>
  </si>
  <si>
    <t>PENSION FUND - COUNCILLORS</t>
  </si>
  <si>
    <t>PO10000/IE10434/FD10017/FX10042/RX10021/CO10000/101030</t>
  </si>
  <si>
    <t>ALLOWANCES - TRAVELLING</t>
  </si>
  <si>
    <t>PO10000/IE11060/FD10017/FX10042/RX10021/CO10000/101030</t>
  </si>
  <si>
    <t>TRAVELLING-OWN TRANSPORT</t>
  </si>
  <si>
    <t>PO10000/IE10078/FD10017/FX10042/RX10021/CO10000/101040</t>
  </si>
  <si>
    <t>PO10000/IE10086/FD10017/FX10042/RX10021/CO10000/101040</t>
  </si>
  <si>
    <t>PO10000/IE10227/FD10017/FX10042/RX10022/CO10000/101040</t>
  </si>
  <si>
    <t>PO10000/IE10349/FD10017/FX10042/RX10021/CO10000/101040</t>
  </si>
  <si>
    <t>PO10000/IE10353/FD10017/FX10042/RX10021/CO10000/101040</t>
  </si>
  <si>
    <t>PO10000/IE10356/FD10017/FX10042/RX10021/CO10000/101040</t>
  </si>
  <si>
    <t>PO10000/IE10357/FD10017/FX10042/RX10021/CO10000/101040</t>
  </si>
  <si>
    <t>PO10000/IE10358/FD10017/FX10042/RX10021/CO10000/101040</t>
  </si>
  <si>
    <t>PO10000/IE10373/FD10017/FX10042/RX10021/CO10000/101040</t>
  </si>
  <si>
    <t>PO10000/IE10374/FD10017/FX10042/RX10021/CO10000/101040</t>
  </si>
  <si>
    <t>PO10000/IE10795/FD10017/FX10042/RX10021/CO10000/101040</t>
  </si>
  <si>
    <t>PO10000/IE10800/FD10017/FX10042/RX10021/CO10000/101040</t>
  </si>
  <si>
    <t>PO10000/IE11979/FD10017/FX10042/RX10021/CO10000/101040</t>
  </si>
  <si>
    <t>ALLOWANCE - HOUSING</t>
  </si>
  <si>
    <t>PO10000/IE11981/FD10017/FX10042/RX10021/CO10000/101040</t>
  </si>
  <si>
    <t>PO10000/IE11984/FD10017/FX10042/RX10021/CO10000/101040</t>
  </si>
  <si>
    <t>PO10000/IE13805/FD10017/FX10042/RX10022/CO10000/101040</t>
  </si>
  <si>
    <t>PO10000/IE14304/FD10017/FX10042/RX10021/CO10000/101040</t>
  </si>
  <si>
    <t>BURSARY FUND</t>
  </si>
  <si>
    <t>PO10062/IE10108/FD10017/FX10042/RX10022/CO10000/101040</t>
  </si>
  <si>
    <t>MAYORAL IMBIZO-EVENT PROMOTERS</t>
  </si>
  <si>
    <t>PO10062/IE10149/FD10017/FX10042/RX10022/CO10000/101040</t>
  </si>
  <si>
    <t>MAYORAL IMBIZO-CATERING SERVICES</t>
  </si>
  <si>
    <t>PO10062/IE10282/FD10017/FX10042/RX10022/CO10000/101040</t>
  </si>
  <si>
    <t>MAYORAL IMBIZO-TRANSPORT - EVENTS</t>
  </si>
  <si>
    <t>PO10117/IE10108/FD10017/FX10042/RX10022/CO10000/101040</t>
  </si>
  <si>
    <t>MANDELA DAY-EVENT PROMOTERS</t>
  </si>
  <si>
    <t>PO10117/IE10282/FD10017/FX10042/RX10022/CO10000/101040</t>
  </si>
  <si>
    <t>MANDELA DAY-TRANSPORT - EVENTS</t>
  </si>
  <si>
    <t>PO10000/IE10078/FD10017/FX10043/RX10021/CO10000/102010</t>
  </si>
  <si>
    <t>PO10000/IE10086/FD10017/FX10043/RX10021/CO10000/102010</t>
  </si>
  <si>
    <t>PO10000/IE10242/FD10017/FX10043/RX10021/CO10000/102010</t>
  </si>
  <si>
    <t>SUBSCRIPTIONS</t>
  </si>
  <si>
    <t>PO10000/IE10258/FD10017/FX10043/RX10021/CO10000/102010</t>
  </si>
  <si>
    <t>ICT &amp; PROG-INTERNET CHARGE (ISP)</t>
  </si>
  <si>
    <t>PO10000/IE10261/FD10017/FX10043/RX10021/CO10000/102010</t>
  </si>
  <si>
    <t>ICT &amp; PROG-RECOVERY CENTER HOSTING CHARGES (backup)</t>
  </si>
  <si>
    <t>PO10000/IE10263/FD10017/FX10043/RX10021/CO10000/102010</t>
  </si>
  <si>
    <t>ICT &amp; PROG-SOFTWARE LICENSES</t>
  </si>
  <si>
    <t>PO10000/IE10291/FD10017/FX10043/RX10021/CO10000/102010</t>
  </si>
  <si>
    <t>AUDIT COMMITTE :GENERAL</t>
  </si>
  <si>
    <t>PO10000/IE10322/FD10017/FX10043/RX10021/CO10000/102010</t>
  </si>
  <si>
    <t>LEGAL EXPENSES</t>
  </si>
  <si>
    <t>PO10000/IE10349/FD10017/FX10043/RX10021/CO10000/102010</t>
  </si>
  <si>
    <t>PO10000/IE10353/FD10017/FX10043/RX10021/CO10000/102010</t>
  </si>
  <si>
    <t>PO10000/IE10356/FD10017/FX10043/RX10021/CO10000/102010</t>
  </si>
  <si>
    <t>PO10000/IE10357/FD10017/FX10043/RX10021/CO10000/102010</t>
  </si>
  <si>
    <t>PO10000/IE10358/FD10017/FX10043/RX10021/CO10000/102010</t>
  </si>
  <si>
    <t>PO10000/IE10372/FD10017/FX10043/RX10021/CO10000/102010</t>
  </si>
  <si>
    <t>WORKSHOP GENERAL</t>
  </si>
  <si>
    <t>PO10000/IE10373/FD10017/FX10043/RX10021/CO10000/102010</t>
  </si>
  <si>
    <t>PO10000/IE10374/FD10017/FX10043/RX10021/CO10000/102010</t>
  </si>
  <si>
    <t>PO10000/IE10375/FD10017/FX10043/RX10021/CO10000/102010</t>
  </si>
  <si>
    <t>PO10000/IE10795/FD10017/FX10043/RX10021/CO10000/102010</t>
  </si>
  <si>
    <t>PO10000/IE10800/FD10017/FX10043/RX10021/CO10000/102010</t>
  </si>
  <si>
    <t>PO10000/IE11060/FD10017/FX10043/RX10021/CO10000/102010</t>
  </si>
  <si>
    <t>PO10000/IE11979/FD10017/FX10043/RX10021/CO10000/102010</t>
  </si>
  <si>
    <t>PO10000/IE11981/FD10017/FX10043/RX10021/CO10000/102010</t>
  </si>
  <si>
    <t>PO10000/IE11984/FD10017/FX10043/RX10021/CO10000/102010</t>
  </si>
  <si>
    <t>PO10000/IE11988/FD10017/FX10043/RX10021/CO10000/102010</t>
  </si>
  <si>
    <t>LEAVE REDEMPTION</t>
  </si>
  <si>
    <t>Account Type  :  Property, Plant and Equipment</t>
  </si>
  <si>
    <t>PC10003/IA17481/FD10017/FX10043/RX10021/CO10000/102010</t>
  </si>
  <si>
    <t>FURNITURE AND EQUIPMENT</t>
  </si>
  <si>
    <t>Totals for Account Type  :  Property, Plant and Equipment</t>
  </si>
  <si>
    <t>PO10000/IE10078/FD10017/FX10094/RX10021/CO10000/102020</t>
  </si>
  <si>
    <t>PO10000/IE10086/FD10017/FX10094/RX10021/CO10000/102020</t>
  </si>
  <si>
    <t>PO10000/IE10349/FD10017/FX10094/RX10021/CO10000/102020</t>
  </si>
  <si>
    <t>PO10000/IE10353/FD10017/FX10094/RX10021/CO10000/102020</t>
  </si>
  <si>
    <t>PO10000/IE10356/FD10017/FX10094/RX10021/CO10000/102020</t>
  </si>
  <si>
    <t>PO10000/IE10357/FD10017/FX10094/RX10021/CO10000/102020</t>
  </si>
  <si>
    <t>PO10000/IE10358/FD10017/FX10094/RX10021/CO10000/102020</t>
  </si>
  <si>
    <t>PO10000/IE10373/FD10017/FX10094/RX10021/CO10000/102020</t>
  </si>
  <si>
    <t>PO10000/IE10795/FD10017/FX10094/RX10021/CO10000/102020</t>
  </si>
  <si>
    <t>PO10000/IE10800/FD10017/FX10094/RX10021/CO10000/102020</t>
  </si>
  <si>
    <t>PO10000/IE11979/FD10017/FX10094/RX10021/CO10000/102020</t>
  </si>
  <si>
    <t>PO10000/IE11984/FD10017/FX10094/RX10021/CO10000/102020</t>
  </si>
  <si>
    <t>PO10000/IE10078/FD10017/FX10096/RX10021/CO10000/102030</t>
  </si>
  <si>
    <t>PO10000/IE10086/FD10017/FX10096/RX10021/CO10000/102030</t>
  </si>
  <si>
    <t>PO10000/IE10349/FD10017/FX10096/RX10021/CO10000/102030</t>
  </si>
  <si>
    <t>PO10000/IE10353/FD10017/FX10096/RX10021/CO10000/102030</t>
  </si>
  <si>
    <t>PO10000/IE10356/FD10017/FX10096/RX10021/CO10000/102030</t>
  </si>
  <si>
    <t>PO10000/IE10357/FD10017/FX10096/RX10021/CO10000/102030</t>
  </si>
  <si>
    <t>PO10000/IE10358/FD10017/FX10096/RX10021/CO10000/102030</t>
  </si>
  <si>
    <t>PO10000/IE10373/FD10017/FX10096/RX10021/CO10000/102030</t>
  </si>
  <si>
    <t>PO10000/IE10374/FD10017/FX10096/RX10021/CO10000/102030</t>
  </si>
  <si>
    <t>PO10000/IE10795/FD10017/FX10096/RX10021/CO10000/102030</t>
  </si>
  <si>
    <t>PO10000/IE10800/FD10017/FX10096/RX10021/CO10000/102030</t>
  </si>
  <si>
    <t>PO10000/IE11979/FD10017/FX10096/RX10021/CO10000/102030</t>
  </si>
  <si>
    <t>PO10000/IE11984/FD10017/FX10096/RX10021/CO10000/102030</t>
  </si>
  <si>
    <t>PO10000/IE11988/FD10017/FX10096/RX10021/CO10000/102030</t>
  </si>
  <si>
    <t>PO10134/IE10149/FD10017/FX10096/RX10022/CO10000/102030</t>
  </si>
  <si>
    <t>SMME DEVELOPMENT-CATERING SERVICES</t>
  </si>
  <si>
    <t>PO10000/IE10049/FD10017/FX10046/RX10021/CO10000/103010</t>
  </si>
  <si>
    <t>AUDIT FEES</t>
  </si>
  <si>
    <t>PO10000/IE10078/FD10017/FX10046/RX10021/CO10000/103010</t>
  </si>
  <si>
    <t>PO10000/IE10086/FD10017/FX10046/RX10021/CO10000/103010</t>
  </si>
  <si>
    <t>PO10000/IE10231/FD10017/FX10046/RX10021/CO10000/103010</t>
  </si>
  <si>
    <t>BANK CHARGES</t>
  </si>
  <si>
    <t>PO10000/IE10276/FD10017/FX10046/RX10021/CO10000/103010</t>
  </si>
  <si>
    <t>INSURANCE GENERAL</t>
  </si>
  <si>
    <t>PO10000/IE10293/FD10017/FX10046/RX10021/CO10000/103010</t>
  </si>
  <si>
    <t>PO10000/IE10293/FD10498/FX10046/RX10021/CO10000/103010</t>
  </si>
  <si>
    <t>MFMA SUPPORT PROGRAMME - Expense</t>
  </si>
  <si>
    <t>PO10000/IE10349/FD10017/FX10046/RX10021/CO10000/103010</t>
  </si>
  <si>
    <t>PO10000/IE10353/FD10017/FX10046/RX10021/CO10000/103010</t>
  </si>
  <si>
    <t>PO10000/IE10356/FD10017/FX10046/RX10021/CO10000/103010</t>
  </si>
  <si>
    <t>PO10000/IE10357/FD10017/FX10046/RX10021/CO10000/103010</t>
  </si>
  <si>
    <t>PO10000/IE10358/FD10017/FX10046/RX10021/CO10000/103010</t>
  </si>
  <si>
    <t>PO10000/IE10373/FD10017/FX10046/RX10021/CO10000/103010</t>
  </si>
  <si>
    <t>PO10000/IE10374/FD10017/FX10046/RX10021/CO10000/103010</t>
  </si>
  <si>
    <t>PO10000/IE10795/FD10017/FX10046/RX10021/CO10000/103010</t>
  </si>
  <si>
    <t>PO10000/IE10800/FD10017/FX10046/RX10021/CO10000/103010</t>
  </si>
  <si>
    <t>PO10000/IE11060/FD10017/FX10046/RX10021/CO10000/103010</t>
  </si>
  <si>
    <t>PO10000/IE11979/FD10017/FX10046/RX10021/CO10000/103010</t>
  </si>
  <si>
    <t>PO10000/IE11981/FD10017/FX10046/RX10021/CO10000/103010</t>
  </si>
  <si>
    <t>PO10000/IE11984/FD10017/FX10046/RX10021/CO10000/103010</t>
  </si>
  <si>
    <t>PO10000/IE13634/FD10017/FX10046/RX10021/CO10000/103010</t>
  </si>
  <si>
    <t>MEMBERSHIP FEES SALGA</t>
  </si>
  <si>
    <t>PO10055/IE10372/FD10017/FX10046/RX10021/CO10000/103010</t>
  </si>
  <si>
    <t>WORKSHOPS</t>
  </si>
  <si>
    <t>PC10003/IA17481/FD10017/FX10046/RX10021/CO10000/103010</t>
  </si>
  <si>
    <t>PD10000/IR10156/FD10023/FX10046/RX10021/CO10000/103010</t>
  </si>
  <si>
    <t>TENDER INCOME</t>
  </si>
  <si>
    <t>PD10000/IR10249/FD13635/FX10046/RX10021/CO10000/103010/IC</t>
  </si>
  <si>
    <t>INTEREST ON CURRENT ACCOUNT</t>
  </si>
  <si>
    <t>PD10000/IR10249/FD13635/FX10046/RX10021/CO10000/103010/II</t>
  </si>
  <si>
    <t>INTEREST ON INVESTMENT</t>
  </si>
  <si>
    <t>PD10000/IR10899/FD10498/FX10046/RX10021/CO10000/103010</t>
  </si>
  <si>
    <t>NAT GR - FINANCE MANAGEMENT GRANT (FMG)</t>
  </si>
  <si>
    <t>PD10000/IR10925/FD10017/FX10046/RX10021/CO10000/103010</t>
  </si>
  <si>
    <t>NAT GR - EQUITABLE SHARE</t>
  </si>
  <si>
    <t>Totals for Account Type  :  Revenue</t>
  </si>
  <si>
    <t>PO10000/IE10029/FD10017/FX10044/RX10021/CO10000/104010</t>
  </si>
  <si>
    <t>RENTAL: VEHICLES</t>
  </si>
  <si>
    <t>PO10000/IE10065/FD10017/FX10044/RX10021/CO10000/104010</t>
  </si>
  <si>
    <t>PRINTING &amp; STATIONERY</t>
  </si>
  <si>
    <t>PO10000/IE10078/FD10017/FX10044/RX10021/CO10000/104010</t>
  </si>
  <si>
    <t>PO10000/IE10086/FD10017/FX10044/RX10021/CO10000/104010</t>
  </si>
  <si>
    <t>PO10000/IE10092/FD10017/FX10044/RX10021/CO10000/104010</t>
  </si>
  <si>
    <t>WORKMANS COPENSATION</t>
  </si>
  <si>
    <t>PO10000/IE10210/FD10017/FX10044/RX10021/CO10000/104010</t>
  </si>
  <si>
    <t>CONSUMABLES</t>
  </si>
  <si>
    <t>PO10000/IE10223/FD10017/FX10044/RX10022/CO10000/104010</t>
  </si>
  <si>
    <t>CORPORATE AND MUNICIPAL ACTIVITIES</t>
  </si>
  <si>
    <t>PO10000/IE10229/FD10017/FX10044/RX10022/CO10000/104010</t>
  </si>
  <si>
    <t>STAFF RECRUITMENT</t>
  </si>
  <si>
    <t>PO10000/IE10232/FD10017/FX10044/RX10021/CO10000/104010</t>
  </si>
  <si>
    <t>PETROL AND FLEET COSTS</t>
  </si>
  <si>
    <t>PO10000/IE10234/FD10017/FX10044/RX10021/CO10000/104010</t>
  </si>
  <si>
    <t>RENTAL EQUIPMENT</t>
  </si>
  <si>
    <t>PO10000/IE10241/FD10017/FX10044/RX10021/CO10000/104010</t>
  </si>
  <si>
    <t>CELLAUR CONTRACT (Subscription and Calls)</t>
  </si>
  <si>
    <t>PO10000/IE10250/FD10017/FX10044/RX10021/CO10000/104010</t>
  </si>
  <si>
    <t>TELEPHONE, FAX, TELEGRAPH AND TELEX</t>
  </si>
  <si>
    <t>PO10000/IE10286/FD10017/FX10044/RX10021/CO10000/104010</t>
  </si>
  <si>
    <t>TRAVELLING-NON-EMPLOYEES</t>
  </si>
  <si>
    <t>PO10000/IE10349/FD10017/FX10044/RX10021/CO10000/104010</t>
  </si>
  <si>
    <t>PO10000/IE10353/FD10017/FX10044/RX10021/CO10000/104010</t>
  </si>
  <si>
    <t>PO10000/IE10356/FD10017/FX10044/RX10021/CO10000/104010</t>
  </si>
  <si>
    <t>PO10000/IE10357/FD10017/FX10044/RX10021/CO10000/104010</t>
  </si>
  <si>
    <t>PO10000/IE10358/FD10017/FX10044/RX10021/CO10000/104010</t>
  </si>
  <si>
    <t>PO10000/IE10372/FD10017/FX10044/RX10021/CO10000/104010</t>
  </si>
  <si>
    <t>TRAINING</t>
  </si>
  <si>
    <t>PO10000/IE10373/FD10017/FX10044/RX10021/CO10000/104010</t>
  </si>
  <si>
    <t>PO10000/IE10374/FD10017/FX10044/RX10021/CO10000/104010</t>
  </si>
  <si>
    <t>PO10000/IE10795/FD10017/FX10044/RX10021/CO10000/104010</t>
  </si>
  <si>
    <t>PO10000/IE10800/FD10017/FX10044/RX10021/CO10000/104010</t>
  </si>
  <si>
    <t>PO10000/IE11060/FD10017/FX10044/RX10021/CO10000/104010</t>
  </si>
  <si>
    <t>PO10000/IE11979/FD10017/FX10044/RX10021/CO10000/104010</t>
  </si>
  <si>
    <t>PO10000/IE11984/FD10017/FX10044/RX10021/CO10000/104010</t>
  </si>
  <si>
    <t>PO10000/IE11988/FD10017/FX10044/RX10021/CO10000/104010</t>
  </si>
  <si>
    <t>PO10000/IE11993/FD10017/FX10044/RX10021/CO10000/104010</t>
  </si>
  <si>
    <t>ALLOWANCE - SHIFT</t>
  </si>
  <si>
    <t>PO10420/IE10122/FD10017/FX10044/RX10021/CO10000/104010</t>
  </si>
  <si>
    <t>PO10423/IE10123/FD10017/FX10044/RX10021/CO10000/104010</t>
  </si>
  <si>
    <t>MAINT.: MOTOR VEHICLES</t>
  </si>
  <si>
    <t>PO13495/IE10121/FD10017/FX10044/RX10021/CO10000/104010</t>
  </si>
  <si>
    <t>MAINT .: BUILDINGS</t>
  </si>
  <si>
    <t>PC10003/IA17481/FD10017/FX10044/RX10021/CO10000/104010</t>
  </si>
  <si>
    <t>PO10000/IE10066/FD10017/FX10017/RX10021/CO10000/105010</t>
  </si>
  <si>
    <t>AFFILIATION GENERAL</t>
  </si>
  <si>
    <t>PO10000/IE10086/FD10017/FX10017/RX10021/CO10000/105010</t>
  </si>
  <si>
    <t>PO10000/IE10319/FD10017/FX10071/RX10022/CO10000/105010</t>
  </si>
  <si>
    <t>SAMPLING OF FOOD AND WATER</t>
  </si>
  <si>
    <t>PO10000/IE10349/FD10017/FX10017/RX10021/CO10000/105010</t>
  </si>
  <si>
    <t>PO10000/IE10353/FD10017/FX10017/RX10021/CO10000/105010</t>
  </si>
  <si>
    <t>PO10000/IE10356/FD10017/FX10017/RX10021/CO10000/105010</t>
  </si>
  <si>
    <t>PO10000/IE10357/FD10017/FX10017/RX10021/CO10000/105010</t>
  </si>
  <si>
    <t>PO10000/IE10358/FD10017/FX10017/RX10021/CO10000/105010</t>
  </si>
  <si>
    <t>PO10000/IE10373/FD10017/FX10017/RX10021/CO10000/105010</t>
  </si>
  <si>
    <t>PO10000/IE10374/FD10017/FX10017/RX10021/CO10000/105010</t>
  </si>
  <si>
    <t>PO10000/IE10795/FD10017/FX10017/RX10021/CO10000/105010</t>
  </si>
  <si>
    <t>PO10000/IE10800/FD10017/FX10017/RX10021/CO10000/105010</t>
  </si>
  <si>
    <t>PO10000/IE11979/FD10017/FX10017/RX10021/CO10000/105010</t>
  </si>
  <si>
    <t>PO10000/IE11981/FD10017/FX10017/RX10021/CO10000/105010</t>
  </si>
  <si>
    <t>PO10000/IE11984/FD10017/FX10017/RX10021/CO10000/105010</t>
  </si>
  <si>
    <t>PO10000/IE11988/FD10017/FX10017/RX10021/CO10000/105010</t>
  </si>
  <si>
    <t>PO10080/IE10108/FD10017/FX10026/RX10022/CO10000/105010</t>
  </si>
  <si>
    <t>GENDER &amp; DISABILITY-EVENT PROMOTERS</t>
  </si>
  <si>
    <t>PO10080/IE10149/FD10017/FX10026/RX10022/CO10000/105010</t>
  </si>
  <si>
    <t>GENDER &amp; DISABILITY-CATERING SERVICES</t>
  </si>
  <si>
    <t>PO10165/IE10031/FD10017/FX10026/RX10022/CO10000/105010</t>
  </si>
  <si>
    <t>SPORT DEV PRO-TROPHIES</t>
  </si>
  <si>
    <t>PO10165/IE10087/FD10017/FX10026/RX10022/CO10000/105010</t>
  </si>
  <si>
    <t>SPORT DEV PRO-SPORTS ATTIRE</t>
  </si>
  <si>
    <t>PO10165/IE10149/FD10017/FX10026/RX10022/CO10000/105010</t>
  </si>
  <si>
    <t>SPORT DEV PRO-CATERING SERVICES</t>
  </si>
  <si>
    <t>PO10165/IE10284/FD10017/FX10026/RX10022/CO10000/105010</t>
  </si>
  <si>
    <t>SPORT DEV PRO-TRANSPORT - MUNICIPAL ACTIVITY</t>
  </si>
  <si>
    <t>PO10274/IE10149/FD10017/FX10026/RX10022/CO10000/105010</t>
  </si>
  <si>
    <t>HIV ADIS-CATERING SERVICES</t>
  </si>
  <si>
    <t>PO10000/IE10078/FD10017/FX10097/RX10021/CO10000/106010</t>
  </si>
  <si>
    <t>PO10000/IE10086/FD10017/FX10097/RX10021/CO10000/106010</t>
  </si>
  <si>
    <t>PO10000/IE10309/FD10488/FX10097/RX10022/CO10000/106010</t>
  </si>
  <si>
    <t>ENERGY EFFICIENCY</t>
  </si>
  <si>
    <t>PO10000/IE10349/FD10017/FX10097/RX10021/CO10000/106010</t>
  </si>
  <si>
    <t>PO10000/IE10353/FD10017/FX10097/RX10021/CO10000/106010</t>
  </si>
  <si>
    <t>PO10000/IE10356/FD10017/FX10097/RX10021/CO10000/106010</t>
  </si>
  <si>
    <t>PO10000/IE10357/FD10017/FX10097/RX10021/CO10000/106010</t>
  </si>
  <si>
    <t>PO10000/IE10358/FD10017/FX10097/RX10021/CO10000/106010</t>
  </si>
  <si>
    <t>PO10000/IE10373/FD10017/FX10097/RX10021/CO10000/106010</t>
  </si>
  <si>
    <t>PO10000/IE10374/FD10017/FX10097/RX10021/CO10000/106010</t>
  </si>
  <si>
    <t>PO10000/IE10795/FD10017/FX10097/RX10021/CO10000/106010</t>
  </si>
  <si>
    <t>PO10000/IE10800/FD10017/FX10097/RX10021/CO10000/106010</t>
  </si>
  <si>
    <t>PO10000/IE11060/FD10017/FX10097/RX10021/CO10000/106010</t>
  </si>
  <si>
    <t>PO10000/IE11979/FD10017/FX10097/RX10021/CO10000/106010</t>
  </si>
  <si>
    <t>PO10000/IE11981/FD10017/FX10097/RX10021/CO10000/106010</t>
  </si>
  <si>
    <t>PO10000/IE11984/FD10017/FX10097/RX10021/CO10000/106010</t>
  </si>
  <si>
    <t>PO10000/IE14865/FD10489/FX10097/RX10022/CO10000/106010</t>
  </si>
  <si>
    <t>EPWP INCENTIVE GRANT EXPENDITURE</t>
  </si>
  <si>
    <t>PO10000/IA16075/FD10515/FX10097/RX10022/CO10000/106010</t>
  </si>
  <si>
    <t>RURAL ASSETS MANAGEMENT SYSTEM</t>
  </si>
  <si>
    <t>PD10000/IR10889/FD10488/FX10097/RX10021/CO10000/106010</t>
  </si>
  <si>
    <t>NAT GR - ENERGY EFFICIENCY</t>
  </si>
  <si>
    <t>PD10000/IR10890/FD10489/FX10097/RX10021/CO10000/106010</t>
  </si>
  <si>
    <t>NAT GR - EPWP INCENTIVE GRANT</t>
  </si>
  <si>
    <t>PD10000/IR10915/FD10515/FX10097/RX10021/CO10000/106010</t>
  </si>
  <si>
    <t>NAT GR-RURAL ASSETS MANAGEMENT SYSTEM GR</t>
  </si>
  <si>
    <t>PO10000/IE10086/FD10017/FX10011/RX10021/CO10000/107010</t>
  </si>
  <si>
    <t>PO10000/IE10373/FD10017/FX10011/RX10021/CO10000/107010</t>
  </si>
  <si>
    <t>PO10000/IE14879/FD10017/FX10011/RX10021/CO10000/107010</t>
  </si>
  <si>
    <t>RURAL COMMUNITY SUPPORT</t>
  </si>
  <si>
    <t>Item</t>
  </si>
  <si>
    <t>Budget and Treasury</t>
  </si>
  <si>
    <t>Community Services</t>
  </si>
  <si>
    <t>PC10003/IA17481/FD10017/FX10017/RX10021/CO10000/105010</t>
  </si>
  <si>
    <t>Office of the MM</t>
  </si>
  <si>
    <t>TETA GRANT</t>
  </si>
  <si>
    <t>PD10000/IR11038/FD13692/FX10097/RX10021/CO10000/106010/TETA</t>
  </si>
  <si>
    <t>Municipal Running Cost</t>
  </si>
  <si>
    <t>INCENTIVE/PERFORMANCE BONUS</t>
  </si>
  <si>
    <t>PO10000/IE10351/FD10017/FX10046/RX10021/CO10000/103010</t>
  </si>
  <si>
    <t>PO10000/IE11988/FD10017/FX10046/RX10021/CO10000/103010</t>
  </si>
  <si>
    <t>DEPRECIATION: LEASED ASSETS</t>
  </si>
  <si>
    <t>PO10000/IE10181/FD10000/FX10046/RX10021/CO10000/103010/LA</t>
  </si>
  <si>
    <t>DEPRECIATION: FURNITURE AND FITTINGS</t>
  </si>
  <si>
    <t>PO10000/IE10183/FD10000/FX10046/RX10021/CO10000/103010/FF</t>
  </si>
  <si>
    <t>DEPRECIATION: OFFICE EQUIPMENT</t>
  </si>
  <si>
    <t>PO10000/IE10183/FD10017/FX10046/RX10021/CO10000/103010/OE</t>
  </si>
  <si>
    <t>PO10000/IE10375/FD10017/FX10046/RX10021/CO10000/103010</t>
  </si>
  <si>
    <t>PO10000/IE12050/FD10017/FX10046/RX10021/CO10000/103010</t>
  </si>
  <si>
    <t>NON CASH RESERVE(DEPRECIATION)</t>
  </si>
  <si>
    <t>PD10000/IR11981/FD10000/FX10046/RX10021/CO10000/103010</t>
  </si>
  <si>
    <t>PO10000/IE10351/FD10017/FX10017/RX10021/CO10000/105010</t>
  </si>
  <si>
    <t>OVERTIME</t>
  </si>
  <si>
    <t>PO10000/IE14448/FD10017/FX10017/RX10021/CO10000/105010</t>
  </si>
  <si>
    <t>PO10000/IE10181/FD10000/FX10017/RX10021/CO10000/105010/LA</t>
  </si>
  <si>
    <t>PO10000/IE10183/FD10017/FX10017/RX10021/CO10000/105010/FF</t>
  </si>
  <si>
    <t>PO10000/IE10183/FD10017/FX10017/RX10021/CO10000/105010/OE</t>
  </si>
  <si>
    <t>DEPRECIATION: MOTOR VEHICLES</t>
  </si>
  <si>
    <t>PO10000/IE10195/FD10000/FX10017/RX10021/CO10000/105010/MV</t>
  </si>
  <si>
    <t>UNIFORMS AND PROTECTIVE CLOTHING</t>
  </si>
  <si>
    <t>PO10000/IE10087/FD10017/FX10017/RX10021/CO10000/105010</t>
  </si>
  <si>
    <t>PEST CONTROL</t>
  </si>
  <si>
    <t>PO10000/IE10127/FD10017/FX10017/RX10021/CO10000/105010</t>
  </si>
  <si>
    <t>TRAVELLING-AIR TRANSPORT</t>
  </si>
  <si>
    <t>PO10000/IE12438/FD10017/FX10017/RX10021/CO10000/105010</t>
  </si>
  <si>
    <t>KM REIMBERSMENT</t>
  </si>
  <si>
    <t>PO10000/IE12050/FD10017/FX10017/RX10021/CO10000/105010</t>
  </si>
  <si>
    <t>PO10000/IE10351/FD10017/FX10044/RX10021/CO10000/104010</t>
  </si>
  <si>
    <t>PO10000/IE11981/FD10017/FX10044/RX10021/CO10000/104010</t>
  </si>
  <si>
    <t>PO10000/IE14448/FD10017/FX10044/RX10021/CO10000/104010</t>
  </si>
  <si>
    <t>PO10000/IE10181/FD10000/FX10044/RX10021/CO10000/104010/LA</t>
  </si>
  <si>
    <t>PO10000/IE10183/FD10000/FX10044/RX10021/CO10000/104010/FF</t>
  </si>
  <si>
    <t>PO10000/IE10183/FD10017/FX10044/RX10021/CO10000/104010/OE</t>
  </si>
  <si>
    <t>PO10000/IE10195/FD10000/FX10044/RX10021/CO10000/104010/MV</t>
  </si>
  <si>
    <t>PO10000/IE10087/FD10017/FX10044/RX10021/CO10000/104010</t>
  </si>
  <si>
    <t>PO10000/IE10375/FD10017/FX10044/RX10021/CO10000/104010</t>
  </si>
  <si>
    <t>PO10000/IE12050/FD10017/FX10044/RX10021/CO10000/104010</t>
  </si>
  <si>
    <t>DEPRECIATION: SOFTWARE</t>
  </si>
  <si>
    <t>PO10000/IE11988/FD10017/FX10097/RX10021/CO10000/106010</t>
  </si>
  <si>
    <t>PO10000/IE10183/FD10017/FX10097/RX10021/CO10000/106010/FF</t>
  </si>
  <si>
    <t>PO10000/IE10183/FD10017/FX10097/RX10021/CO10000/106010/OE</t>
  </si>
  <si>
    <t>ROAD SAFETY EDUCATION - TRANSPORT</t>
  </si>
  <si>
    <t>PO10134/IE10072/FD10017/FX10097/RX10022/CO10000/106010</t>
  </si>
  <si>
    <t>PO10000/IE10286/FD10017/FX10097/RX10021/CO10000/106010</t>
  </si>
  <si>
    <t>PO10000/IE12050/FD10017/FX10097/RX10021/CO10000/106010</t>
  </si>
  <si>
    <t>PO10000/IE10372/FD10017/FX10044/RX10022/CO10000/106010</t>
  </si>
  <si>
    <t>ROAD SAFETY EDUCATION-School Traffic Mats</t>
  </si>
  <si>
    <t>PO10000/IE14601/FD10017/FX10044/RX10022/CO10000/106010</t>
  </si>
  <si>
    <t>PO10000/IE10087/FD10017/FX10097/RX10021/CO10000/106010</t>
  </si>
  <si>
    <t>PO10000/IE10058/FD10017/FX10097/RX10022/CO10000/106010/TETA</t>
  </si>
  <si>
    <t>PO10000/IE10181/FD10000/FX10096/RX10021/CO10000/102030/LA</t>
  </si>
  <si>
    <t>PO10000/IE10183/FD10000/FX10096/RX10021/CO10000/102030/FF</t>
  </si>
  <si>
    <t>PO10000/IE10183/FD10017/FX10096/RX10021/CO10000/102030/OE</t>
  </si>
  <si>
    <t>PO10000/IE10286/FD10017/FX10096/RX10021/CO10000/102030</t>
  </si>
  <si>
    <t>PO10000/IE10375/FD10017/FX10096/RX10021/CO10000/102030</t>
  </si>
  <si>
    <t>PO10000/IE11060/FD10017/FX10096/RX10021/CO10000/102030</t>
  </si>
  <si>
    <t>PO10000/IE13463/FD10017/FX10096/RX10021/CO10000/102030</t>
  </si>
  <si>
    <t>PO10000/IE12050/FD10017/FX10096/RX10021/CO10000/102030</t>
  </si>
  <si>
    <t>PO10000/IE10109/FD10017/FX10096/RX10021/CO10000/102030</t>
  </si>
  <si>
    <t>ALLOWANCES - COUNCILLORS</t>
  </si>
  <si>
    <t>PO10000/IE10408/FD10017/FX10042/RX10021/CO10000/101030</t>
  </si>
  <si>
    <t>MEDICAL AID FUND - COUNCILLORS</t>
  </si>
  <si>
    <t>DEPRECIATION: COMPUTER EQUIPMENT</t>
  </si>
  <si>
    <t>PO10000/IE10181/FD10000/FX10042/RX10021/CO10000/101030/CE</t>
  </si>
  <si>
    <t>PO10000/IE10183/FD10000/FX10042/RX10021/CO10000/101030/FF</t>
  </si>
  <si>
    <t>TRAVELLING-CAR RENTAL</t>
  </si>
  <si>
    <t>PO10000/IE11059/FD10017/FX10042/RX10021/CO10000/101030</t>
  </si>
  <si>
    <t>PO10000/IE12438/FD10017/FX10042/RX10021/CO10000/101030</t>
  </si>
  <si>
    <t>PO10000/IE11984/FD10017/FX10042/RX10021/CO10000/101020</t>
  </si>
  <si>
    <t>PO10000/IE11988/FD10017/FX10042/RX10021/CO10000/101020</t>
  </si>
  <si>
    <t>PO10000/IE10181/FD10000/FX10042/RX10021/CO10000/101020/CE</t>
  </si>
  <si>
    <t>PO10000/IE10183/FD10000/FX10042/RX10021/CO10000/101020/FF</t>
  </si>
  <si>
    <t>PO10000/IE10374/FD10017/FX10042/RX10021/CO10000/101020</t>
  </si>
  <si>
    <t>PO10000/IE11059/FD10017/FX10042/RX10021/CO10000/101020</t>
  </si>
  <si>
    <t>PO10000/IE12438/FD10017/FX10042/RX10021/CO10000/101020</t>
  </si>
  <si>
    <t>PO10000/IE11988/FD10017/FX10042/RX10021/CO10000/101040</t>
  </si>
  <si>
    <t>PO10000/IE14448/FD10017/FX10042/RX10021/CO10000/101040</t>
  </si>
  <si>
    <t>PO10000/IE10181/FD10000/FX10042/RX10021/CO10000/101040/LA</t>
  </si>
  <si>
    <t>PO10000/IE10183/FD10000/FX10042/RX10021/CO10000/101040/FF</t>
  </si>
  <si>
    <t>PO10000/IE10183/FD10000/FX10042/RX10021/CO10000/101040/OE</t>
  </si>
  <si>
    <t>PO10000/IE10375/FD10017/FX10042/RX10021/CO10000/101040</t>
  </si>
  <si>
    <t>PO10000/IE11059/FD10017/FX10042/RX10021/CO10000/101040</t>
  </si>
  <si>
    <t>PO10000/IE11060/FD10017/FX10042/RX10021/CO10000/101040</t>
  </si>
  <si>
    <t>PO10000/IE12438/FD10017/FX10042/RX10021/CO10000/101040</t>
  </si>
  <si>
    <t>PO10000/IE12050/FD10017/FX10042/RX10021/CO10000/101040</t>
  </si>
  <si>
    <t>PUBLICATION AND PROMOTION OF TMDM</t>
  </si>
  <si>
    <t>PO10000/IE10372/FD10017/FX10042/RX10022/CO10000/101040</t>
  </si>
  <si>
    <t>PO10000/IE10351/FD10017/FX10043/RX10021/CO10000/102010</t>
  </si>
  <si>
    <t>PO10000/IE10181/FD10000/FX10043/RX10021/CO10000/102010/LA</t>
  </si>
  <si>
    <t>PO10000/IE10183/FD10000/FX10043/RX10021/CO10000/102010/FF</t>
  </si>
  <si>
    <t>PO10000/IE10183/FD10000/FX10043/RX10021/CO10000/102010/OE</t>
  </si>
  <si>
    <t>PO10000/IE10195/FD10000/FX10043/RX10021/CO10000/102010/MV</t>
  </si>
  <si>
    <t>PO10000/IE12050/FD10017/FX10043/RX10021/CO10000/102010</t>
  </si>
  <si>
    <t>STRATEGIC SESSION:ACCOMMODATION</t>
  </si>
  <si>
    <t>PO10000/IE12652/FD10017/FX10043/RX10021/CO10000/102010</t>
  </si>
  <si>
    <t>STRATEGIC SESSION:EVENT PROMOTERS</t>
  </si>
  <si>
    <t>PO10000/IE10108/FD10017/FX10043/RX10021/CO10000/102010</t>
  </si>
  <si>
    <t>PO10000/IE11988/FD10017/FX10042/RX10021/CO10000/101010</t>
  </si>
  <si>
    <t>PO10000/IE10181/FD10000/FX10042/RX10021/CO10000/101010/LA</t>
  </si>
  <si>
    <t>PO10000/IE10183/FD10000/FX10042/RX10021/CO10000/101010/FF</t>
  </si>
  <si>
    <t>PO10000/IE10183/FD10000/FX10042/RX10021/CO10000/101010/OE</t>
  </si>
  <si>
    <t>PO10000/IE10286/FD10017/FX10042/RX10021/CO10000/101010</t>
  </si>
  <si>
    <t>PO10000/IE10375/FD10017/FX10042/RX10021/CO10000/101010</t>
  </si>
  <si>
    <t>PO10000/IE11059/FD10017/FX10042/RX10021/CO10000/101010</t>
  </si>
  <si>
    <t>PO10000/IE11060/FD10017/FX10042/RX10021/CO10000/101010</t>
  </si>
  <si>
    <t>PO10000/IE12438/FD10017/FX10042/RX10021/CO10000/101010</t>
  </si>
  <si>
    <t>PO10000/IE10349/FD10017/FX10011/RX10021/CO10000/107010</t>
  </si>
  <si>
    <t>PO10000/IE10795/FD10017/FX10011/RX10021/CO10000/107010</t>
  </si>
  <si>
    <t>PO10000/IE10800/FD10017/FX10011/RX10021/CO10000/107010</t>
  </si>
  <si>
    <t>PO10000/IE11984/FD10017/FX10011/RX10021/CO10000/107010</t>
  </si>
  <si>
    <t>PO10000/IE10353/FD10017/FX10011/RX10021/CO10000/107010</t>
  </si>
  <si>
    <t>PO10000/IE10356/FD10017/FX10011/RX10021/CO10000/107010</t>
  </si>
  <si>
    <t>PO10000/IE10357/FD10017/FX10011/RX10021/CO10000/107010</t>
  </si>
  <si>
    <t>PO10000/IE10358/FD10017/FX10011/RX10021/CO10000/107010</t>
  </si>
  <si>
    <t>PO10000/IE10078/FD10017/FX10011/RX10021/CO10000/107010</t>
  </si>
  <si>
    <t>PO10000/IE10286/FD10017/FX10011/RX10021/CO10000/107010</t>
  </si>
  <si>
    <t>PO10000/IE10374/FD10017/FX10011/RX10021/CO10000/107010</t>
  </si>
  <si>
    <t>PO10000/IE10375/FD10017/FX10011/RX10021/CO10000/107010</t>
  </si>
  <si>
    <t>PO10000/IE11060/FD10017/FX10011/RX10021/CO10000/107010</t>
  </si>
  <si>
    <t>PO10000/IE13463/FD10017/FX10011/RX10021/CO10000/107010</t>
  </si>
  <si>
    <t>PO10000/IE12050/FD10017/FX10011/RX10021/CO10000/107010</t>
  </si>
  <si>
    <t>PO10000/IE11988/FD10017/FX10011/RX10021/CO10000/107010</t>
  </si>
  <si>
    <t>EXHIBITION INSTALLATION</t>
  </si>
  <si>
    <t>PO10000/IE10109/FD10017/FX10011/RX10021/CO10000/107010</t>
  </si>
  <si>
    <t>PO10000/IE11988/FD10017/FX10094/RX10021/CO10000/102020</t>
  </si>
  <si>
    <t>PO10000/IE10181/FD10000/FX10094/RX10021/CO10000/102020/LA</t>
  </si>
  <si>
    <t>PO10000/IE10183/FD10000/FX10094/RX10021/CO10000/102020/FF</t>
  </si>
  <si>
    <t>PO10000/IE10183/FD10017/FX10094/RX10021/CO10000/102020/OE</t>
  </si>
  <si>
    <t>PRINTING ANNUAL REPORT</t>
  </si>
  <si>
    <t>PO10000/IE10065/FD10017/FX10094/RX10022/CO10000/102020</t>
  </si>
  <si>
    <t>PO10000/IE10374/FD10017/FX10094/RX10021/CO10000/102020</t>
  </si>
  <si>
    <t>PO10000/IE11060/FD10017/FX10094/RX10021/CO10000/102020</t>
  </si>
  <si>
    <t>KM REIMBURSEMENT</t>
  </si>
  <si>
    <t>PO10000/IE10800/FD10017/FX10094/RX10002/CO10000/102020</t>
  </si>
  <si>
    <t>Mayoral/Executive Mayor Campaigns</t>
  </si>
  <si>
    <t>MORAL REGENERATION:CATERING</t>
  </si>
  <si>
    <t>PO10062/IE10104/FD10017/FX10042/RX10022/CO10000/101040</t>
  </si>
  <si>
    <t>MORAL REGENERATION:TRANSPORT</t>
  </si>
  <si>
    <t>PO10062/IE14997/FD10017/FX10042/RX10022/CO10000/101040</t>
  </si>
  <si>
    <t>Public Participation Meeting</t>
  </si>
  <si>
    <t>Social Development Programme  (Welfare)</t>
  </si>
  <si>
    <t>GENDER &amp; DISABILITY-TRANSPORT - EVENTS</t>
  </si>
  <si>
    <t>PO10080/IE10282/FD10017/FX10026/RX10022/CO10000/105010</t>
  </si>
  <si>
    <t>Civic Functions</t>
  </si>
  <si>
    <t>MANDELA DAY-CATERING SERVICES</t>
  </si>
  <si>
    <t>PO10117/IE10149/FD10017/FX10042/RX10022/CO10000/101040</t>
  </si>
  <si>
    <t>Training</t>
  </si>
  <si>
    <t>SMME DEVELOPMENT-TRANSPORT</t>
  </si>
  <si>
    <t>PO10134/IE10282/FD10017/FX10096/RX10022/CO10000/102030</t>
  </si>
  <si>
    <t>SMME DEVELOPMENT-SMME EQUIPMENT</t>
  </si>
  <si>
    <t>PO10134/IE14885/FD10017/FX10096/RX10022/CO10000/102030</t>
  </si>
  <si>
    <t>SMME DEVELOPMENT -FINANCIAL SUPPORT</t>
  </si>
  <si>
    <t>PO10134/IE12652/FD10017/FX10096/RX10022/CO10000/102030</t>
  </si>
  <si>
    <t>SMME MATERIAL</t>
  </si>
  <si>
    <t>PO10134/IE13121/FD10017/FX10096/RX10022/CO10000/102030</t>
  </si>
  <si>
    <t>SMME DEVELOPMENT-EVENT PROMOTERS</t>
  </si>
  <si>
    <t>PO10134/IE10108/FD10017/FX10096/RX10022/CO10000/102030</t>
  </si>
  <si>
    <t>Aids/HIV</t>
  </si>
  <si>
    <t>HIV ADIS-EVENT PROMOTERS</t>
  </si>
  <si>
    <t>PO10274/IE10108/FD10017/FX10026/RX10022/CO10000/105010</t>
  </si>
  <si>
    <t>HIV ADIS-TRANSPORT - EVENTS</t>
  </si>
  <si>
    <t>PO10274/IE10282/FD10017/FX10026/RX10022/CO10000/105010</t>
  </si>
  <si>
    <t>Youth Development</t>
  </si>
  <si>
    <t>YOUTH DEV PROG-TRANSPORT - EVENTS</t>
  </si>
  <si>
    <t>PO10278/IE10282/FD10017/FX10042/RX10022/CO10000/101040</t>
  </si>
  <si>
    <t>YOUTH DEV PROG-YOUTH SUMMIT</t>
  </si>
  <si>
    <t>PO10278/IE10372/FD10017/FX10042/RX10021/CO10000/101040</t>
  </si>
  <si>
    <t>YOUTH DEV PROG-ENTERPRENUER SUPPORT</t>
  </si>
  <si>
    <t>PO10278/IE12609/FD10017/FX10042/RX10022/CO10000/101040</t>
  </si>
  <si>
    <t>Speaker</t>
  </si>
  <si>
    <t>Chief Whip</t>
  </si>
  <si>
    <t>Mayco and Council</t>
  </si>
  <si>
    <t>Executive Mayor</t>
  </si>
  <si>
    <t>IDP</t>
  </si>
  <si>
    <t>LED</t>
  </si>
  <si>
    <t>Corporate Services</t>
  </si>
  <si>
    <t>Infrustructure</t>
  </si>
  <si>
    <t>Agriculture</t>
  </si>
  <si>
    <t>PO10000/IE10108/FD10017/FX10042/RX10022/CO10000/101010</t>
  </si>
  <si>
    <t>PO10000/IE10149/FD10017/FX10042/RX10022/CO10000/101010</t>
  </si>
  <si>
    <t>TRAINING WARD COMMITTEES-EVENT PROMOTERS</t>
  </si>
  <si>
    <t>TRAINING WARD COMMITTEES-CATERING SERVICES</t>
  </si>
  <si>
    <t>PO10000/IE10793/FD10017/FX10042/RX10021/CO10000/101010</t>
  </si>
  <si>
    <t>PO10000/IE10793/FD10017/FX10042/RX10021/CO10000/101030</t>
  </si>
  <si>
    <t>PO10000/IE10358/FD10017/FX10042/RX10021/CO10000/101030</t>
  </si>
  <si>
    <t>PO10000/IE10405/FD10017/FX10042/RX10021/CO10000/101030</t>
  </si>
  <si>
    <t>ALLOWANCE-KM REIMBERSMENT</t>
  </si>
  <si>
    <t>PO10278/IE10149/FD10017/FX10042/RX10022/CO10000/101040</t>
  </si>
  <si>
    <t>YOUTH DEV PROG-CATERING SERVICES</t>
  </si>
  <si>
    <t>PO10000/IE11993/FD10017/FX10042/RX10021/CO10000/101040</t>
  </si>
  <si>
    <t>PO10000/IE10793/FD10017/FX10042/RX10021/CO10000/101040</t>
  </si>
  <si>
    <t>PO10000/IE10793/FD10017/FX10043/RX10021/CO10000/102010</t>
  </si>
  <si>
    <t>PC10002/IA17421/FD10017/FX10043/RX10021/CO10000/102010</t>
  </si>
  <si>
    <t>COMPUTER EQUIPMENT</t>
  </si>
  <si>
    <t>ALLOWANCE-TRAVELLING (REIMBURSEMENTS)</t>
  </si>
  <si>
    <t>PO10000/IE10793/FD10017/FX10094/RX10021/CO10000/102020</t>
  </si>
  <si>
    <t>PO10000/IE11983/FD10017/FX10094/RX10021/CO10000/102020</t>
  </si>
  <si>
    <t>ALLOWANCE - ACTING</t>
  </si>
  <si>
    <t>EXHIBITION INSTALLATION - ENTERANCE FEE</t>
  </si>
  <si>
    <t>PO10000/IE10372/FD10017/FX10096/RX10021/CO10000/102030</t>
  </si>
  <si>
    <t>PO10000/IE10793/FD10017/FX10096/RX10021/CO10000/102030</t>
  </si>
  <si>
    <t>PO10000/IE10078/FD10498/FX10046/RX10021/CO10000/103010</t>
  </si>
  <si>
    <t>PO10000/IE10349/FD10498/FX10046/RX10021/CO10000/103010</t>
  </si>
  <si>
    <t>MFMA SUPPORT PROGRAMME(INTERNS) - BASIC SALARY</t>
  </si>
  <si>
    <t>PO10000/IE10793/FD10017/FX10046/RX10021/CO10000/103010</t>
  </si>
  <si>
    <t>PO10001/IE10358/FD10498/FX10046/RX10021/CO10000/103010</t>
  </si>
  <si>
    <t>PO10134/IE10293/FD10498/FX10046/RX10021/CO10000/103010</t>
  </si>
  <si>
    <t>MFMA SUPPORT PROGRAMME(INTERNS) - TRAINING</t>
  </si>
  <si>
    <t>PO10000/IE10353/FD10498/FX10046/RX10021/CO10000/103010</t>
  </si>
  <si>
    <t>MFMA SUPPORT PROGRAMME(INTERNS) - LEVY SLGB</t>
  </si>
  <si>
    <t>PO10000/IE11983/FD10017/FX10046/RX10021/CO10000/103010</t>
  </si>
  <si>
    <t>PO10000/IE10344/FD10000/FX10044/RX10021/CO10000/104010</t>
  </si>
  <si>
    <t>PO10000/IE10793/FD10017/FX10044/RX10021/CO10000/104010</t>
  </si>
  <si>
    <t>PO10000/IE11983/FD10017/FX10044/RX10021/CO10000/104010</t>
  </si>
  <si>
    <t>CETA LEANERS STIPEND</t>
  </si>
  <si>
    <t>PO10000/IE10793/FD10017/FX10017/RX10021/CO10000/105010</t>
  </si>
  <si>
    <t>PC10003/IA17481/FD10017/FX10017/RX10022/CO10000/105010</t>
  </si>
  <si>
    <t>PC10084/IA16067/FD10017/FX10017/RX10021/CO10000/105010</t>
  </si>
  <si>
    <t>EQUIPMENT:DISASTER MANAGEMENT CENTRE</t>
  </si>
  <si>
    <t>DISASTER &amp; FIRE REPORTING SOFTWARE</t>
  </si>
  <si>
    <t>PROTECTIVE CLOTHING</t>
  </si>
  <si>
    <t>PO10000/IE10375/FD10017/FX10097/RX10021/CO10000/106010</t>
  </si>
  <si>
    <t>PO10000/IE10793/FD10017/FX10097/RX10021/CO10000/106010</t>
  </si>
  <si>
    <t>PO10000/IE10793/FD10017/FX10011/RX10021/CO10000/107010</t>
  </si>
  <si>
    <t>PO10000/IE11059/FD10017/FX10011/RX10021/CO10000/107010</t>
  </si>
  <si>
    <t>PO10000/IE11979/FD10017/FX10011/RX10021/CO10000/107010</t>
  </si>
  <si>
    <t>PO10000/IE11981/FD10017/FX10011/RX10021/CO10000/107010</t>
  </si>
  <si>
    <t>PO10000/IE11983/FD10017/FX10011/RX10021/CO10000/107010</t>
  </si>
  <si>
    <t>PO10000/IE11991/FD10017/FX10011/RX10021/CO10000/107010</t>
  </si>
  <si>
    <t>LONG SERVICE AWARDS</t>
  </si>
  <si>
    <t>PO10000/IE12438/FD10017/FX10011/RX10021/CO10000/107010</t>
  </si>
  <si>
    <t>Description</t>
  </si>
  <si>
    <t>OPERATING EXPENDITURE</t>
  </si>
  <si>
    <t>EMPLOYEE RELATED COST</t>
  </si>
  <si>
    <t>(ALLOWANCE - NIGHT SHIFT)</t>
  </si>
  <si>
    <t>(LEAVE REDEMPTION/LEAVE PAYOUT)</t>
  </si>
  <si>
    <t>SUB-TOTAL EMP COST WAGES/SALARIES</t>
  </si>
  <si>
    <t>EMPLOYEE RELATED COSTS - SOCIAL CONTR</t>
  </si>
  <si>
    <t>SUB-TOTAL EMP COST - SOCIAL CONTR</t>
  </si>
  <si>
    <t>TOTAL EMPLOYEE RELATED COST</t>
  </si>
  <si>
    <t>REMUNERATION OF COUNCILLORS</t>
  </si>
  <si>
    <t>SUB-TOTAL REMUNERATION COUNCILLORS</t>
  </si>
  <si>
    <t>TOTAL EMPL AND COUNCILLORS RELATED COST</t>
  </si>
  <si>
    <t>DEPRECIATION</t>
  </si>
  <si>
    <t>OTHER ASSETS: COMPUTERS</t>
  </si>
  <si>
    <t>OTHER ASSETS: FURNITURE AND FITTINGS</t>
  </si>
  <si>
    <t>OTHER ASSETS: LEASING ASSETS</t>
  </si>
  <si>
    <t>OTHER ASSETS: MOTOR VEHICLES</t>
  </si>
  <si>
    <t>OTHER ASSETS: OFFICE EQUIPMENT</t>
  </si>
  <si>
    <t>OE (DEPRECIATION: SOFTWARE)</t>
  </si>
  <si>
    <t>SUB-TOTAL DEPRECIATION</t>
  </si>
  <si>
    <t>MAINT.: BUILDINGS</t>
  </si>
  <si>
    <t>MAINT.: GENERAL</t>
  </si>
  <si>
    <t>GENERAL EXPENSES</t>
  </si>
  <si>
    <t>CORPORATE AND MUNICIPAL ACTIVITY</t>
  </si>
  <si>
    <t>AUDIT COMMITTE:GENERAL</t>
  </si>
  <si>
    <t>POSTAGE</t>
  </si>
  <si>
    <t>PRINTING OF ANNUAL REPORT</t>
  </si>
  <si>
    <t>PUBLICATION &amp; PROMOTION OF TMDM</t>
  </si>
  <si>
    <t>ROAD SAFETY EDUCATION-Catering</t>
  </si>
  <si>
    <t>Transport</t>
  </si>
  <si>
    <t>SUBSCRIPTION</t>
  </si>
  <si>
    <t>TETA GRANT EXPENDITURE</t>
  </si>
  <si>
    <t>Accommodation</t>
  </si>
  <si>
    <t>Daily Allowance</t>
  </si>
  <si>
    <t>Car Rental</t>
  </si>
  <si>
    <t>Own Transport</t>
  </si>
  <si>
    <t>Air Transport</t>
  </si>
  <si>
    <t>YOUTH DEV PROG-ENTERPRENEUR SUPPORT</t>
  </si>
  <si>
    <t>SUB-TOTAL GENERAL EXPENSES</t>
  </si>
  <si>
    <t>TOTAL DIRECT OPERATING EXPENDITURE</t>
  </si>
  <si>
    <t>PPE &amp; Disaster Equipment</t>
  </si>
  <si>
    <t>FURNITURE AND OFFICE EQUIPMENT</t>
  </si>
  <si>
    <t>COMPUTER</t>
  </si>
  <si>
    <t>TOTAL BUDGET</t>
  </si>
  <si>
    <t>DIRECT OPERATING REVENUE</t>
  </si>
  <si>
    <t>INTEREST EARNED - EXTERNAL INVESTMENTS</t>
  </si>
  <si>
    <t>SUB-TOTAL INT EARNED EXT INVESTMENTS</t>
  </si>
  <si>
    <t>GRANTS &amp; SUBSIDIES RECEIVED - OPERATING</t>
  </si>
  <si>
    <t>GR - OTHER (LGSETA)</t>
  </si>
  <si>
    <t>FINANCE MANAGEMENT GRANT (FMG)</t>
  </si>
  <si>
    <t>MUN SYSTEMS IMP GRANT (MSIG)</t>
  </si>
  <si>
    <t>SUB-TOTAL GRANTS &amp; SUBS OPERATING</t>
  </si>
  <si>
    <t>NAT GR - OTHER</t>
  </si>
  <si>
    <t>PROV GR - DPLG (TETA)</t>
  </si>
  <si>
    <t>SUNDRY REVENUE - OTHER</t>
  </si>
  <si>
    <t>SURPLUS CASH AT YEAR END</t>
  </si>
  <si>
    <t>SUB-TOTAL OTHER REVENUE</t>
  </si>
  <si>
    <t>TOTAL OPERATING REVENUE</t>
  </si>
  <si>
    <t>SURPLUS / DEFICIT</t>
  </si>
  <si>
    <t>TETA GRANT - REVENUE</t>
  </si>
  <si>
    <t>PO10000/IE10181/FD10000/FX10042/RX10021/CO10000/101030/LA</t>
  </si>
  <si>
    <t>PO10000/IE10183/FD10000/FX10042/RX10021/CO10000/101030/OE</t>
  </si>
  <si>
    <t>Vote Description</t>
  </si>
  <si>
    <t>General Expenses</t>
  </si>
  <si>
    <t>Repairs &amp; Mainteance</t>
  </si>
  <si>
    <t>Contracted Services</t>
  </si>
  <si>
    <t>Capital Assets</t>
  </si>
  <si>
    <t>Depreciation</t>
  </si>
  <si>
    <t>Transfers Grants to other municipality</t>
  </si>
  <si>
    <t>TOTAL</t>
  </si>
  <si>
    <t>Mayco &amp; Council</t>
  </si>
  <si>
    <t>Municipal Manager</t>
  </si>
  <si>
    <t>Budget &amp; Treasury</t>
  </si>
  <si>
    <t>Govenance &amp; Stragetic Support</t>
  </si>
  <si>
    <t>Corporate</t>
  </si>
  <si>
    <t>Infrastructure</t>
  </si>
  <si>
    <t>Rural Development &amp; Agricultural</t>
  </si>
  <si>
    <t>Total</t>
  </si>
  <si>
    <t>Salaries</t>
  </si>
  <si>
    <t>ALLOWANCE KM REIMBERSMENT</t>
  </si>
  <si>
    <t>SERVICES IN-KIND REVENUE</t>
  </si>
  <si>
    <t>SERVICES IN-KIND EXPENDITURE</t>
  </si>
  <si>
    <t>SERVICES IN-KIND</t>
  </si>
  <si>
    <t>LONG SERVICE BENEFIT</t>
  </si>
  <si>
    <t>Adjustment</t>
  </si>
  <si>
    <t>Total Expenditure - Functional</t>
  </si>
  <si>
    <t>Tourism</t>
  </si>
  <si>
    <t>Markets</t>
  </si>
  <si>
    <t>Licensing and Regulation</t>
  </si>
  <si>
    <t xml:space="preserve">Forestry </t>
  </si>
  <si>
    <t>Abattoirs</t>
  </si>
  <si>
    <t>Other</t>
  </si>
  <si>
    <t>Street Cleaning</t>
  </si>
  <si>
    <t>Solid Waste Removal</t>
  </si>
  <si>
    <t>Solid Waste Disposal (Landfill Sites)</t>
  </si>
  <si>
    <t>Recycling</t>
  </si>
  <si>
    <t>Waste management</t>
  </si>
  <si>
    <t>Waste Water Treatment</t>
  </si>
  <si>
    <t>Storm Water Management</t>
  </si>
  <si>
    <t>Sewerage</t>
  </si>
  <si>
    <t>Public Toilets</t>
  </si>
  <si>
    <t>Waste water management</t>
  </si>
  <si>
    <t>Water Storage</t>
  </si>
  <si>
    <t>Water Distribution</t>
  </si>
  <si>
    <t>Water Treatment</t>
  </si>
  <si>
    <t>Water management</t>
  </si>
  <si>
    <t>Nonelectric Energy</t>
  </si>
  <si>
    <t>Street Lighting and Signal Systems</t>
  </si>
  <si>
    <t xml:space="preserve">Electricity </t>
  </si>
  <si>
    <t>Energy sources</t>
  </si>
  <si>
    <t>Trading services</t>
  </si>
  <si>
    <t>Soil Conservation</t>
  </si>
  <si>
    <t>Pollution Control</t>
  </si>
  <si>
    <t>Nature Conservation</t>
  </si>
  <si>
    <t>Indigenous Forests</t>
  </si>
  <si>
    <t>Coastal Protection</t>
  </si>
  <si>
    <t>Biodiversity and Landscape</t>
  </si>
  <si>
    <t>Environmental protection</t>
  </si>
  <si>
    <t>Taxi Ranks</t>
  </si>
  <si>
    <t>Roads</t>
  </si>
  <si>
    <t>Road and Traffic Regulation</t>
  </si>
  <si>
    <t>Public Transport</t>
  </si>
  <si>
    <t>Pounds</t>
  </si>
  <si>
    <t>Police Forces, Traffic and Street Parking Control</t>
  </si>
  <si>
    <t>Road transport</t>
  </si>
  <si>
    <t>Support to Local Municipalities</t>
  </si>
  <si>
    <t>Provincial Planning</t>
  </si>
  <si>
    <t>Project Management Unit</t>
  </si>
  <si>
    <t>Town Planning, Building Regulations and Enforcement, and City Engineer</t>
  </si>
  <si>
    <t>Regional Planning and Development</t>
  </si>
  <si>
    <t>Economic Development/Planning</t>
  </si>
  <si>
    <t>Development Facilitation</t>
  </si>
  <si>
    <t>Central City Improvement District</t>
  </si>
  <si>
    <t>Corporate Wide Strategic Planning (IDPs, LEDs)</t>
  </si>
  <si>
    <t>Billboards</t>
  </si>
  <si>
    <t>Planning and development</t>
  </si>
  <si>
    <t>Economic and environmental services</t>
  </si>
  <si>
    <t>Chemical Safety</t>
  </si>
  <si>
    <t>Vector Control</t>
  </si>
  <si>
    <t>Health Surveillance and Prevention of Communicable Diseases including immunizations</t>
  </si>
  <si>
    <t>Food Control</t>
  </si>
  <si>
    <t>Laboratory Services</t>
  </si>
  <si>
    <t>Health Services</t>
  </si>
  <si>
    <t>Ambulance</t>
  </si>
  <si>
    <t>Health</t>
  </si>
  <si>
    <t>Informal Settlements</t>
  </si>
  <si>
    <t>Housing</t>
  </si>
  <si>
    <t>Licensing and Control of Animals</t>
  </si>
  <si>
    <t>Fire Fighting and Protection</t>
  </si>
  <si>
    <t xml:space="preserve">Fencing and Fences </t>
  </si>
  <si>
    <t>Cleansing</t>
  </si>
  <si>
    <t>Civil Defence</t>
  </si>
  <si>
    <t>Public safety</t>
  </si>
  <si>
    <t>Sports Grounds and Stadiums</t>
  </si>
  <si>
    <t>Recreational Facilities</t>
  </si>
  <si>
    <t>Community Parks (including Nurseries)</t>
  </si>
  <si>
    <t>Casinos, Racing, Gambling, Wagering</t>
  </si>
  <si>
    <t xml:space="preserve">Beaches and Jetties </t>
  </si>
  <si>
    <t>Sport and recreation</t>
  </si>
  <si>
    <t>Zoo's</t>
  </si>
  <si>
    <t>Theatres</t>
  </si>
  <si>
    <t>Provincial Cultural Matters</t>
  </si>
  <si>
    <t>Population Development</t>
  </si>
  <si>
    <t>Museums and Art Galleries</t>
  </si>
  <si>
    <t>Media Services</t>
  </si>
  <si>
    <t>Literacy Programmes</t>
  </si>
  <si>
    <t>Libraries and Archives</t>
  </si>
  <si>
    <t>Language Policy</t>
  </si>
  <si>
    <t>Industrial Promotion</t>
  </si>
  <si>
    <t>Indigenous and Customary Law</t>
  </si>
  <si>
    <t>Education</t>
  </si>
  <si>
    <t>Disaster Management</t>
  </si>
  <si>
    <t>Cultural Matters</t>
  </si>
  <si>
    <t>Consumer Protection</t>
  </si>
  <si>
    <t>Community Halls and Facilities</t>
  </si>
  <si>
    <t>Child Care Facilities</t>
  </si>
  <si>
    <t>Cemeteries, Funeral Parlours and Crematoriums</t>
  </si>
  <si>
    <t>Animal Care and Diseases</t>
  </si>
  <si>
    <t>Agricultural</t>
  </si>
  <si>
    <t>Aged Care</t>
  </si>
  <si>
    <t>Community and social services</t>
  </si>
  <si>
    <t>Community and public safety</t>
  </si>
  <si>
    <t>Governance Function</t>
  </si>
  <si>
    <t>Internal audit</t>
  </si>
  <si>
    <t>Valuation Service</t>
  </si>
  <si>
    <t xml:space="preserve">Supply Chain Management </t>
  </si>
  <si>
    <t>Security Services</t>
  </si>
  <si>
    <t>Risk Management</t>
  </si>
  <si>
    <t>Property Services</t>
  </si>
  <si>
    <t>Marketing, Customer Relations, Publicity and Media Co-ordination</t>
  </si>
  <si>
    <t>Legal Services</t>
  </si>
  <si>
    <t>Information Technology</t>
  </si>
  <si>
    <t>Human Resources</t>
  </si>
  <si>
    <t>Fleet Management</t>
  </si>
  <si>
    <t>Finance</t>
  </si>
  <si>
    <t>Budget and Treasury Office</t>
  </si>
  <si>
    <t>Asset Management</t>
  </si>
  <si>
    <t>Administrative and Corporate Support</t>
  </si>
  <si>
    <t>Finance and administration</t>
  </si>
  <si>
    <t>Municipal Manager, Town Secretary and Chief Executive</t>
  </si>
  <si>
    <t>Mayor and Council</t>
  </si>
  <si>
    <t>Executive and council</t>
  </si>
  <si>
    <t>Municipal governance and administration</t>
  </si>
  <si>
    <t>Expenditure - Functional</t>
  </si>
  <si>
    <t>TOTAL DIRECT OPERATING REVENUE</t>
  </si>
  <si>
    <t>R S</t>
  </si>
  <si>
    <t>R</t>
  </si>
  <si>
    <t>SERVICE SETA GRANT</t>
  </si>
  <si>
    <t>NON CASH RESERVE (DEPRECIATION 46)</t>
  </si>
  <si>
    <t>OTHER REVENUE</t>
  </si>
  <si>
    <t>R H</t>
  </si>
  <si>
    <t>ENERGY EFFICIENCY AND DEMAND SIDE MANAGEMENT GR</t>
  </si>
  <si>
    <t>NAT GR - EPWPINCENTIVE GRANTS</t>
  </si>
  <si>
    <t>GRANTS  -  COGTA - LEGAL SUPPORT</t>
  </si>
  <si>
    <t>GRANTS &amp; SUBSIDIES PAID</t>
  </si>
  <si>
    <t>Typ</t>
  </si>
  <si>
    <t>2019/2020</t>
  </si>
  <si>
    <t>2020/2021</t>
  </si>
  <si>
    <t>2021/2022</t>
  </si>
  <si>
    <t>CONTRACTED SERVICE</t>
  </si>
  <si>
    <t>Amount</t>
  </si>
  <si>
    <t>Office of the Municpal Manager</t>
  </si>
  <si>
    <t>Internet Service Provider</t>
  </si>
  <si>
    <t>Information Technology Equipment</t>
  </si>
  <si>
    <t>Backup &amp; Storage System</t>
  </si>
  <si>
    <t>Offsite DR Hosting</t>
  </si>
  <si>
    <t>Financial Services</t>
  </si>
  <si>
    <t xml:space="preserve">Lateral Unison Insurance Brookers </t>
  </si>
  <si>
    <t>Insurance of municipal assets</t>
  </si>
  <si>
    <t>SALGA Membership</t>
  </si>
  <si>
    <t>Membership fees</t>
  </si>
  <si>
    <t>Auditor General</t>
  </si>
  <si>
    <t>Audit Fees</t>
  </si>
  <si>
    <t>Page Automation</t>
  </si>
  <si>
    <t>Rental Photocopy Machine</t>
  </si>
  <si>
    <t>Telkom, Vodacom and MTN</t>
  </si>
  <si>
    <t>Telephone</t>
  </si>
  <si>
    <t>Absa</t>
  </si>
  <si>
    <t>Petrol and Fleet</t>
  </si>
  <si>
    <t>Department of Transport</t>
  </si>
  <si>
    <t>Rental Vehicles</t>
  </si>
  <si>
    <t>Department of Labour</t>
  </si>
  <si>
    <t>COIDA</t>
  </si>
  <si>
    <t>Chiefwhip</t>
  </si>
  <si>
    <t>MM</t>
  </si>
  <si>
    <t>CFO</t>
  </si>
  <si>
    <t>Community</t>
  </si>
  <si>
    <t>IDP &amp; PMS</t>
  </si>
  <si>
    <t>LED &amp; Tourism</t>
  </si>
  <si>
    <t xml:space="preserve">Agriculture &amp; Rural </t>
  </si>
  <si>
    <t>Security</t>
  </si>
  <si>
    <t>COUNCILLORS</t>
  </si>
  <si>
    <t>Remuneration</t>
  </si>
  <si>
    <t>Office-bearer Allowance</t>
  </si>
  <si>
    <t>Out of pocket Expenses</t>
  </si>
  <si>
    <t>Travelling Allowance</t>
  </si>
  <si>
    <t>Use of Personal Facilities</t>
  </si>
  <si>
    <t>Basic Salary</t>
  </si>
  <si>
    <t>Cell phone Allowance</t>
  </si>
  <si>
    <t>Housing Allowance</t>
  </si>
  <si>
    <t>In-kind Benefits</t>
  </si>
  <si>
    <t>Motor Vehicle Allowance</t>
  </si>
  <si>
    <t>Pension Fund Contributions</t>
  </si>
  <si>
    <t>Medial Aid Benefits</t>
  </si>
  <si>
    <t>SENIOR MANAGERS (SECTION 56)</t>
  </si>
  <si>
    <t>Bonuses</t>
  </si>
  <si>
    <t xml:space="preserve">Cellular and Telephone </t>
  </si>
  <si>
    <t xml:space="preserve">Housing Benefits </t>
  </si>
  <si>
    <t xml:space="preserve">Travel or Motor Vehicle </t>
  </si>
  <si>
    <t>Social Contributions</t>
  </si>
  <si>
    <t>Unemployment Insurance</t>
  </si>
  <si>
    <t xml:space="preserve">Medical </t>
  </si>
  <si>
    <t xml:space="preserve">Pension </t>
  </si>
  <si>
    <t>Bargaining Council</t>
  </si>
  <si>
    <t>MUNICIPAL STAFF</t>
  </si>
  <si>
    <t>Salaries, Wages and Allowances</t>
  </si>
  <si>
    <t>Basic Salary and Wages</t>
  </si>
  <si>
    <t>Rental Subsidy</t>
  </si>
  <si>
    <t>Bonus (13th Cheque)</t>
  </si>
  <si>
    <t>Acting and Post Related Allowances</t>
  </si>
  <si>
    <t>Long Service Award</t>
  </si>
  <si>
    <t>Standby Allowance</t>
  </si>
  <si>
    <t>Uniform/Special/Protective Clothing</t>
  </si>
  <si>
    <t>Non Structured (Over time)</t>
  </si>
  <si>
    <t>Structured (Over time)</t>
  </si>
  <si>
    <t>Leave Pay</t>
  </si>
  <si>
    <t>Group Life Insurance</t>
  </si>
  <si>
    <t>Long Term Service Awards</t>
  </si>
  <si>
    <t>SALARIES</t>
  </si>
  <si>
    <t>GENERAL EXPENSES/INPUTS</t>
  </si>
  <si>
    <t>Check appoitment letter</t>
  </si>
  <si>
    <t>as per inputs</t>
  </si>
  <si>
    <t>IT Support &amp; Maintance</t>
  </si>
  <si>
    <t>ROAD SAFETY EDUCATION-Event Promoters</t>
  </si>
  <si>
    <t>NEW</t>
  </si>
  <si>
    <t>RISK COMMITTEE MEETING</t>
  </si>
  <si>
    <t>RISK MANAGEMENT SOFTWARE</t>
  </si>
  <si>
    <t>IT EQUIPMENT(NETWORK POINTS)</t>
  </si>
  <si>
    <t>CONSULTANCY:EXTERNAL ASSESSMENT(AUDIT)</t>
  </si>
  <si>
    <t>BATHO PELE:DESIGN &amp; PRINTING</t>
  </si>
  <si>
    <t>Environmental Health Services(FX10071)</t>
  </si>
  <si>
    <t>AWARENESS CAMPAIGN</t>
  </si>
  <si>
    <t>CPD TRAINING</t>
  </si>
  <si>
    <t>OFFICE RENTAL</t>
  </si>
  <si>
    <t>SPORTS AND DEVELOPMENT</t>
  </si>
  <si>
    <t>SPORT DEV PRO-EVENT PROMOTERS</t>
  </si>
  <si>
    <t>new(fx10026)</t>
  </si>
  <si>
    <t>AFFILIATION -SAMSRA</t>
  </si>
  <si>
    <t>TRAVELLING-ACCOMMODATION-SAMSRA</t>
  </si>
  <si>
    <t>EMPLOYEE WELLNESS</t>
  </si>
  <si>
    <t>YOUTH DEVELOPMENT UNIT</t>
  </si>
  <si>
    <t>GENDER AND DISABLILITY (SOCIAL SERVICES)</t>
  </si>
  <si>
    <t>BURSARY FOR EMPLOYEES</t>
  </si>
  <si>
    <t>AWARENESS CAMPAIGNS</t>
  </si>
  <si>
    <t>CONSUMABLE STORES</t>
  </si>
  <si>
    <t>MAINT:DISASTER EQUIPMENTS</t>
  </si>
  <si>
    <t>FIRST AID KIT</t>
  </si>
  <si>
    <t xml:space="preserve"> </t>
  </si>
  <si>
    <t>DEPRECIATION :INTANGIBLE</t>
  </si>
  <si>
    <t>SPORT DEV PRO-TROPHIES(OR TAMBO GAMES)</t>
  </si>
  <si>
    <t>SPORT DEV PRO-CATERING SERVICES(OR TAMBO GAMES)</t>
  </si>
  <si>
    <t>SPORT DEV PRO-SPORTS ATTIRE(OR TAMBO GAMES)</t>
  </si>
  <si>
    <t>SPORT DEV PRO-EVENT PROMOTERS(OR TAMBO GAMES)</t>
  </si>
  <si>
    <t>SPORT DEV PRO-TRANSPORT - MUNICIPAL ACTIVITY(OR TAMBO)</t>
  </si>
  <si>
    <t>SPORT DEV PRO-TROPHIES(RURAL SPORTS)</t>
  </si>
  <si>
    <t>SPORT DEV PRO-SPORTS ATTIRE(RURAL SPORTS)</t>
  </si>
  <si>
    <t>SPORT DEV PRO-CATERING SERVICES(RURAL SPORTS)</t>
  </si>
  <si>
    <t>SPORT DEV PRO-TRANSPORT - MUNICIPAL ACTIVITY(RURAL SPORTS)</t>
  </si>
  <si>
    <t>SPORT DEV PRO-EVENT PROMOTERS(RURAL )</t>
  </si>
  <si>
    <t>SPORT DEV PRO-CATERING SERVICES(INDIGENOUS GAMES)</t>
  </si>
  <si>
    <t>SPORT DEV PRO-TRANSPORT - MUNICIPAL ACTIVITY(INDIGENOUS GAMES)</t>
  </si>
  <si>
    <t>SPORT DEV PRO-SPORTS ATTIRE(INDIGENOUS GAMES)</t>
  </si>
  <si>
    <t>SPORTS DEV PRO-TRANSPORT(SAMSRA)</t>
  </si>
  <si>
    <t>SPORTS DEV PRO-ACCOMODATION(SAMSRA)</t>
  </si>
  <si>
    <t>SPORTS DEV PRO-AFFILIATION(SAMSRA)</t>
  </si>
  <si>
    <t>INITIATION COMMITTEE WORKSHOPS</t>
  </si>
  <si>
    <t>ARTS AND CULTURE DEV PROGRAMMES-EVENT PROMOTERS</t>
  </si>
  <si>
    <t>ARTS AND CULTURE DEV PROGRAMMES-CATERING</t>
  </si>
  <si>
    <t>ARTS AND CULTURE DEV PROGRAMMES-TRANSPORT</t>
  </si>
  <si>
    <t xml:space="preserve">NEW </t>
  </si>
  <si>
    <t>WORKMANS COMPENSATION</t>
  </si>
  <si>
    <t>INCOME 2019/20</t>
  </si>
  <si>
    <t>Grants (DORA)</t>
  </si>
  <si>
    <t>ADJ BUDGET 2018/19</t>
  </si>
  <si>
    <t>BUDGET 2019/20</t>
  </si>
  <si>
    <t>Equitable Share</t>
  </si>
  <si>
    <t xml:space="preserve">EEDSM </t>
  </si>
  <si>
    <t>RRAMS</t>
  </si>
  <si>
    <t>FMG</t>
  </si>
  <si>
    <t>EPWP</t>
  </si>
  <si>
    <t>Total Grants</t>
  </si>
  <si>
    <t>EXPENDITURE 2019/20</t>
  </si>
  <si>
    <t>Percentage</t>
  </si>
  <si>
    <t>Salaries and Wages</t>
  </si>
  <si>
    <t>Cllrs Remuneration</t>
  </si>
  <si>
    <t>Conditional Grant</t>
  </si>
  <si>
    <t>SURPLUS/(DEFICIT)</t>
  </si>
  <si>
    <t>Submission(Departments)</t>
  </si>
  <si>
    <t>To Reduce:</t>
  </si>
  <si>
    <t>CETA</t>
  </si>
  <si>
    <t>TETA</t>
  </si>
  <si>
    <t>Services-in-kind</t>
  </si>
  <si>
    <t>Interest on bank</t>
  </si>
  <si>
    <t>Total Revenue</t>
  </si>
  <si>
    <t>General Expenditure</t>
  </si>
  <si>
    <t>Total Operating Expenditure</t>
  </si>
  <si>
    <t>PPE</t>
  </si>
  <si>
    <t>TOTA EXPENDITURE</t>
  </si>
  <si>
    <t>Operating Expenditure</t>
  </si>
  <si>
    <t>Difference</t>
  </si>
  <si>
    <t>% Change</t>
  </si>
  <si>
    <t>PUBLIC PARTICIPATION-EVENT PROMOTERS</t>
  </si>
  <si>
    <t>PLANT &amp; EQUIPMENT</t>
  </si>
  <si>
    <t>MARQUARD ROAD(PROJECT RETENTION)</t>
  </si>
  <si>
    <t>LADYBRAND ROAD(PROJECT RETENTION)</t>
  </si>
  <si>
    <t>VEHICLES (DONATIONS)</t>
  </si>
  <si>
    <t>DISASTER MATERIAL</t>
  </si>
  <si>
    <t>VEHICLES (ACQUISITON)</t>
  </si>
  <si>
    <t>TRAVELLING-NON EMPLOYEES</t>
  </si>
  <si>
    <t>CREDIBLE IDP-CATERING SERVICES</t>
  </si>
  <si>
    <t>CETA GRANT - EXPENDITURE</t>
  </si>
  <si>
    <t>AWARENESS CAMPAIGNS(Publications and Books)</t>
  </si>
  <si>
    <t>WATER AND ELECTRICITY</t>
  </si>
  <si>
    <t>Departmental savings</t>
  </si>
  <si>
    <t>CETA GRANT -AGENCY FEES</t>
  </si>
  <si>
    <t>Proposed Budget 2022/2023</t>
  </si>
  <si>
    <t>OFFICE OF THE SPEARKER</t>
  </si>
  <si>
    <t>STRATEGIC SESSION:CATERING</t>
  </si>
  <si>
    <t>DESIGN AND PRINTING OF IDP</t>
  </si>
  <si>
    <t>CREDIBLE IDP - CATERING</t>
  </si>
  <si>
    <t>MAINT GENERAL(HYGIENE)</t>
  </si>
  <si>
    <t>MAINT .: GENERAL(MACHINERY)</t>
  </si>
  <si>
    <t>ELECTRICITY INSTALLATION(FARMS)</t>
  </si>
  <si>
    <t xml:space="preserve">PROTECTIVE CLOTHING </t>
  </si>
  <si>
    <t>DIGITAL AGRICULTURE</t>
  </si>
  <si>
    <t>SAFETY EQUIPMENT</t>
  </si>
  <si>
    <t>MAINT:GENERAL(RECORDING SYSTEMS)</t>
  </si>
  <si>
    <t>OFFICE RENTAL /UPGRADING OFFICES</t>
  </si>
  <si>
    <t>IMPLEMENTATION OF FIRE BY-LAWS</t>
  </si>
  <si>
    <t>PRINTING AND STATIONERY</t>
  </si>
  <si>
    <t>DISASTER MANAGEMENT CENTER</t>
  </si>
  <si>
    <t>REPAIR OF WARDEN FIRE STATION / (MAINT.:BUILDING WARDEN FIRE STATION</t>
  </si>
  <si>
    <t>PROCUREMENT, INSTALLATION, &amp; COMMISSIONING OF  WEATHER STATIONS IN QWAQWA</t>
  </si>
  <si>
    <t>SPORTS DEV PRO-CATERING (SAMSRA)</t>
  </si>
  <si>
    <t xml:space="preserve">YOUTH SUMMIT DEVELOPMENT </t>
  </si>
  <si>
    <t>YOUTH ENTERPRENEURIAL SUPPORT</t>
  </si>
  <si>
    <t>YOUTH DEVELOPMENT PROGRAMME :TRANSPORT</t>
  </si>
  <si>
    <t>INITIATION COMMITTEE WORKSHOPS :CATERING</t>
  </si>
  <si>
    <t>INITIATION COMMITTEE WORKSHOPS :TRANSPORT</t>
  </si>
  <si>
    <t xml:space="preserve">DEPRECIATION : MACHINERY AND EQUIPMENT </t>
  </si>
  <si>
    <t xml:space="preserve">DEPREIATION :MACHINERY AND EQUIPMENT </t>
  </si>
  <si>
    <t>DEPRECIATION: MACHINERY AND EQUIPMENT</t>
  </si>
  <si>
    <t xml:space="preserve">DEPRECIATION: PLANT AND EQUIPMENT </t>
  </si>
  <si>
    <t xml:space="preserve">DEPRECIATION: MACHINERY AND EQUIPMENT </t>
  </si>
  <si>
    <t xml:space="preserve">WEBSITE DEVELOPMENT </t>
  </si>
  <si>
    <t>INITIATION COMMITTEE WORKSHOPS-Transport</t>
  </si>
  <si>
    <t>NEWSLETTERS</t>
  </si>
  <si>
    <t>EPWP INCENTIVE GRANTS</t>
  </si>
  <si>
    <t>MUNICIPAL SYSTEMS IMPROVEMENT GRANT (MSIG)</t>
  </si>
  <si>
    <t>COVID-19 Response Programmes</t>
  </si>
  <si>
    <t>Clrs Remuneration</t>
  </si>
  <si>
    <t>Salaries &amp; Wages</t>
  </si>
  <si>
    <t>Repairs &amp; Maintenance</t>
  </si>
  <si>
    <t>Conditional Grants</t>
  </si>
  <si>
    <t>POVERTY ALLEVIATION</t>
  </si>
  <si>
    <t>SMME DEVELOPMENT  PROGRAMME</t>
  </si>
  <si>
    <t>DISTRICT DEVELOPMENT MODEL READINESS</t>
  </si>
  <si>
    <t>PA System</t>
  </si>
  <si>
    <t>COVID-19 RESPONSE PROGRAMMES</t>
  </si>
  <si>
    <t>ANNUAL LECTURE</t>
  </si>
  <si>
    <t>PA SYSTEM</t>
  </si>
  <si>
    <t>MFMA SUPPORT PROGRAMME (INTERNS) - UIF</t>
  </si>
  <si>
    <t>IT INFRASTRUCTURE SUPPORT &amp; MAINTENANCE</t>
  </si>
  <si>
    <t>MAINT GENERAL (HYGIENE)</t>
  </si>
  <si>
    <t>ELECTRICITY INSTALLATION (FARMS)</t>
  </si>
  <si>
    <t>SPORTS DEV PRO-AFFILIATION (SAMSRA)</t>
  </si>
  <si>
    <t xml:space="preserve">Actual </t>
  </si>
  <si>
    <t>TRAVELLING-FOOD AND BERVERAGES</t>
  </si>
  <si>
    <t xml:space="preserve">COMPUTER EQUIPMENT :INTERNS </t>
  </si>
  <si>
    <t>Total Savings</t>
  </si>
  <si>
    <t>Deficit to be Covered</t>
  </si>
  <si>
    <t>Total Deficit</t>
  </si>
  <si>
    <t>COVID 19 PPE`S</t>
  </si>
  <si>
    <t>DEPRECIATION :VEHICLE</t>
  </si>
  <si>
    <t>DEPRECIATION:VEHICLES</t>
  </si>
  <si>
    <t>PERFORMANCE BONUS</t>
  </si>
  <si>
    <t>FURNITURE AND EQUIPMENT:TELEPHONE SYSTEMS</t>
  </si>
  <si>
    <t>ICT:SETUP &amp; CONFIGURATION</t>
  </si>
  <si>
    <t>PMS SYSTEM</t>
  </si>
  <si>
    <t>Proposed Budget 2023/2024</t>
  </si>
  <si>
    <t>AMORTISATION :INTANGIBLE ASSETS</t>
  </si>
  <si>
    <t>BURSARY FOR COUNCILLORS</t>
  </si>
  <si>
    <t>PERFORMANCE MANAGEMENT SYSTEM</t>
  </si>
  <si>
    <t>SMME DEVELOPMENT PROGRAMME</t>
  </si>
  <si>
    <t>INFRASTRUCTURAL SERVICES</t>
  </si>
  <si>
    <t>AGRICULTURAL SERVICES</t>
  </si>
  <si>
    <t>CORPORATE SERVICES</t>
  </si>
  <si>
    <t>COMMUNITY SERVICES</t>
  </si>
  <si>
    <t xml:space="preserve">LOCAL ECONOMIC DEVELOPMENT </t>
  </si>
  <si>
    <t>FINANCIAL SERVICES</t>
  </si>
  <si>
    <t>CORPORATE GOVERNANCE</t>
  </si>
  <si>
    <t>OFFICE OF THE MUNICIPAL MANAGER</t>
  </si>
  <si>
    <t>OFFICE OF THE EXECUTIVE MAYOR</t>
  </si>
  <si>
    <t>MAYCO AND COUNCIL</t>
  </si>
  <si>
    <t>OFFICE OF THE SPEAKER</t>
  </si>
  <si>
    <t>OFFICE OF THE CHIEF WHIP</t>
  </si>
  <si>
    <t>POVERTY ALLEVIATION-TRANSPORT</t>
  </si>
  <si>
    <t>PORVERTY ALLEVIATION-CATERING</t>
  </si>
  <si>
    <t xml:space="preserve">ALLOWANCE -ACTING </t>
  </si>
  <si>
    <t>CONSULTANCY FEES-ACTUARIES</t>
  </si>
  <si>
    <t>TRAVELLING -ACCOMODATION</t>
  </si>
  <si>
    <t>ALLOWANCE -ACTING</t>
  </si>
  <si>
    <t>TRAVELLING -OWN TRANSPORT</t>
  </si>
  <si>
    <t xml:space="preserve">COMPUTER EQUIPMENT </t>
  </si>
  <si>
    <t>MAINT:BUILDINGS</t>
  </si>
  <si>
    <t xml:space="preserve">get actual spending for the moved </t>
  </si>
  <si>
    <t>POVERTY ALLEVIATION-EVENT PROMOTERS</t>
  </si>
  <si>
    <t>s</t>
  </si>
  <si>
    <t>CAPITAL REPLACEMENT RESERVES</t>
  </si>
  <si>
    <t>MACHINERY AND EQUIPMENT</t>
  </si>
  <si>
    <t>Variance</t>
  </si>
  <si>
    <t>Approved Budget 2021/2022</t>
  </si>
  <si>
    <t>Approved Budget 2020/21</t>
  </si>
  <si>
    <t>Project</t>
  </si>
  <si>
    <t>Frequency</t>
  </si>
  <si>
    <t>Where the event / project is</t>
  </si>
  <si>
    <t>EPWP Participats (Interns Salaries)</t>
  </si>
  <si>
    <t>12 Months period</t>
  </si>
  <si>
    <t>Maluti-A-Phofung, Dihlabeng, Mantsopa, Setsoto,Nketoana &amp; Mantsopa</t>
  </si>
  <si>
    <t>ROAD SAFETY EDUCATION-ARRIVE ALIVE POSTERS</t>
  </si>
  <si>
    <t>1x arrive alive campaign</t>
  </si>
  <si>
    <t>Food And Beverage (Served)</t>
  </si>
  <si>
    <t>All Local Municipalities(whole District)</t>
  </si>
  <si>
    <t>Arrive Alive Posters(Publication and Media)</t>
  </si>
  <si>
    <t xml:space="preserve">ROADS SAFETY EDUCATION </t>
  </si>
  <si>
    <t xml:space="preserve">Catering </t>
  </si>
  <si>
    <t>Event Promotes</t>
  </si>
  <si>
    <t xml:space="preserve">EXPANDED PUBLIC WORKS </t>
  </si>
  <si>
    <t>Twice a year</t>
  </si>
  <si>
    <t>Uniform and Protective Clothing</t>
  </si>
  <si>
    <t>Monthly</t>
  </si>
  <si>
    <t>Skills Development Levy</t>
  </si>
  <si>
    <t>Administrative /Head Office</t>
  </si>
  <si>
    <t>1 x Mobile Traffic Matt</t>
  </si>
  <si>
    <t>TRANSPORT EDUCATION AND TRAINING AUTHORITY</t>
  </si>
  <si>
    <t>MUNICIPAL RUNNING COST</t>
  </si>
  <si>
    <t xml:space="preserve">ROADS   </t>
  </si>
  <si>
    <t>ASSISTANCE TO SMALL AGRICULTURAL PROJECRS</t>
  </si>
  <si>
    <t>ASSISTANCE AND SUPPORT</t>
  </si>
  <si>
    <t>Travel Agency</t>
  </si>
  <si>
    <t>Frequent</t>
  </si>
  <si>
    <t>Travel Agency and Visa</t>
  </si>
  <si>
    <t>Travel Non-Employee</t>
  </si>
  <si>
    <t>training</t>
  </si>
  <si>
    <t>New Establishment and Operational support</t>
  </si>
  <si>
    <t>All Local Municpalities</t>
  </si>
  <si>
    <t>Leases :Machinery and Equipment</t>
  </si>
  <si>
    <t>Administrative and head Office</t>
  </si>
  <si>
    <t>Operational Costs :Municipal Services</t>
  </si>
  <si>
    <t>Printing,Publication and Books</t>
  </si>
  <si>
    <t>Operational Costs:skills Development :Fund levy</t>
  </si>
  <si>
    <t>Bursaries(Employees1)</t>
  </si>
  <si>
    <t>Maintanance of Equipment</t>
  </si>
  <si>
    <t>Hygiene</t>
  </si>
  <si>
    <t>Outsourced Services:Medical Services [Medical Health</t>
  </si>
  <si>
    <t>Not Frequent</t>
  </si>
  <si>
    <t>Communication:Postage/Stamps/Franking Machines</t>
  </si>
  <si>
    <t>Maintanance of Vehicle</t>
  </si>
  <si>
    <t>Contracted Services:Contractors:Maintenance of Buildings and Facilities</t>
  </si>
  <si>
    <t>Operational Cost:Travel Agency and Visa s</t>
  </si>
  <si>
    <t>Operational Cost:Uniform and Protective Clothing</t>
  </si>
  <si>
    <t>Operational Cost:Workmen s Compensation Fund</t>
  </si>
  <si>
    <t>Operational Cost:Office Decorations</t>
  </si>
  <si>
    <t>Advertising, Publicity and Marketing:Corporate and Municipal Activities</t>
  </si>
  <si>
    <t>Operational Cost:Bank Charges, Facility and Card Fees:Fleet and Other Credit/Debit Cards</t>
  </si>
  <si>
    <t>Operating Leases:Machinery and Equipment</t>
  </si>
  <si>
    <t>Communication:Cellular Expenditure</t>
  </si>
  <si>
    <t>Communication:Telephone, Fax, Telegraph and Telex</t>
  </si>
  <si>
    <t>:Operational Cost:Travel and Subsistence:Non-employees</t>
  </si>
  <si>
    <t>Registration Fees:Seminars, Conferences, Workshops and Events:National</t>
  </si>
  <si>
    <t>:Operational Cost:Travel and Subsistence:Domestic:Accommodation</t>
  </si>
  <si>
    <t>Operational Cost:Travel and Subsistence:Domestic:Daily Allowance</t>
  </si>
  <si>
    <t>Travel and Subsistence:Domestic:Food and Beverage (Served)</t>
  </si>
  <si>
    <t>Travel and Subsistence:Domestic:Transport without Operator:Own Transport</t>
  </si>
  <si>
    <t>Transfers Received</t>
  </si>
  <si>
    <t>Operational Cost:Professional Bodies, Membership and Subscription</t>
  </si>
  <si>
    <t>Administrative and Head Office</t>
  </si>
  <si>
    <t xml:space="preserve">Municipal Running Cost/Maint:Disaster Equipment </t>
  </si>
  <si>
    <t>Contracted Services:Contractors:Maintenance of Equipment</t>
  </si>
  <si>
    <t>Operational Cost:Skills Development Fund Levy</t>
  </si>
  <si>
    <t>Operational Cost:Printing, Publications and Books</t>
  </si>
  <si>
    <t>Contracted Services:Contractors:Pest Control and Fumigation</t>
  </si>
  <si>
    <t>Annual</t>
  </si>
  <si>
    <t>Contracted Services:Consultants and Professional Services:Laboratory Services:Water</t>
  </si>
  <si>
    <t>Operational Cost:Travel and Subsistence:Domestic:Accommodation</t>
  </si>
  <si>
    <t>Expenditure:Operational Cost:Travel and Subsistence:Domestic:Food and Beverage (Served)</t>
  </si>
  <si>
    <t>Expenditure:Operational Cost:Travel and Subsistence:Domestic:Transport with Operator:Public Transport:Air Transport</t>
  </si>
  <si>
    <t>Operational Cost:Travel and Subsistence:Domestic:Transport without Operator:Own Transport</t>
  </si>
  <si>
    <t>Contracted Services:Contractors:Catering Services</t>
  </si>
  <si>
    <t>Contracted Services:Contractors:Event Promoters</t>
  </si>
  <si>
    <t>Operational Cost:Insurance Underwriting:Risk Management Programs</t>
  </si>
  <si>
    <t>whole District</t>
  </si>
  <si>
    <t>Quartely</t>
  </si>
  <si>
    <t>Administration and head Office</t>
  </si>
  <si>
    <t>Operational Cost:Travel and Subsistence:Non-employees</t>
  </si>
  <si>
    <t>Transfers and Subsidies:Operational:Allocations In-kind:Departmental Agencies and Accounts:National Departmental Agencies:Education, Training and Development Practices SETA</t>
  </si>
  <si>
    <t>Contracted Services:Outsourced Services:Catering Services</t>
  </si>
  <si>
    <t>Operational Cost:Transport Provided as Part of Departmental Activities:Events</t>
  </si>
  <si>
    <t>Transfers and Subsidies:Operational:Monetary Allocations:Private Enterprises:Subsidies to Non-financial Private Enterprises:Production</t>
  </si>
  <si>
    <t>Transfers and Subsidies:Operational:Allocations In-kind:Private Enterprises:Subsidies to Financial Private Enterprise:Production</t>
  </si>
  <si>
    <t>Transfers and Subsidies:Capital:Monetary Allocations:Departmental Agencies and Accounts:National Departmental Agencies:Small Enterprise Development Agency</t>
  </si>
  <si>
    <t>Seasonal</t>
  </si>
  <si>
    <t>Operational Cost:External Audit Fees</t>
  </si>
  <si>
    <t>Operational Cost:Bank Charges, Facility and Card</t>
  </si>
  <si>
    <t>Operational Cost:Insurance Underwriting:Premiums</t>
  </si>
  <si>
    <t>Contracted Services:Consultants and Professional Services:Business and Advisory:Business and Financial Management</t>
  </si>
  <si>
    <t>Contracted Services:Consultants and Professional Services:Business and Advisory:Actuaries</t>
  </si>
  <si>
    <t>Operational Cost:Registration Fees:Seminars, Conferences, Workshops and Events:National</t>
  </si>
  <si>
    <t>Community Development Initiatives</t>
  </si>
  <si>
    <t>IDP Implementation and Monitoring</t>
  </si>
  <si>
    <t>Operational Cost:Communication:Telemetric Systems</t>
  </si>
  <si>
    <t>Operational Cost:Communication:Licences (Radio and Television)</t>
  </si>
  <si>
    <t>Operational Cost:External Computer Service:Internet</t>
  </si>
  <si>
    <t>Operational Cost:External Computer Service:Software Licences</t>
  </si>
  <si>
    <t>Operational Cost:External Computer Service:Recovery</t>
  </si>
  <si>
    <t>Contracted Services:Consultants and Professional Services:Business and Advisory:Audit Committee</t>
  </si>
  <si>
    <t>Contracted Services:Consultants and Professional Services:Legal Cost:Legal Advice and Litigation</t>
  </si>
  <si>
    <t>Operational Cost:Travel and Subsistence:Domestic:Food and Beverage (Served)</t>
  </si>
  <si>
    <t>Operational Cost:Travel and Subsistence:Domestic:Transport without Operator:Car Rental</t>
  </si>
  <si>
    <t>Operational Cost:Insurance Underwriting:Risk</t>
  </si>
  <si>
    <t>Contracted Services:Contractors:Maintenance of Unspecified Assets</t>
  </si>
  <si>
    <t>Travel Agency and Visa s</t>
  </si>
  <si>
    <t>Operational Cost:Advertising, Publicity and Marketing:Municipal Newsletters</t>
  </si>
  <si>
    <t>Operational Cost:Travel and Subsistence:Domestic:Transport with Operator:Public Transport:Air Transport</t>
  </si>
  <si>
    <t>Operational:Allocations In-kind:Households:Social Assistance:Poverty Relief</t>
  </si>
  <si>
    <t>Operational:Monetary Allocations:Households:Other Transfers (Cash):Bursaries (Non-Employee)</t>
  </si>
  <si>
    <t>Contracted Services:Outsourced Services:Catering</t>
  </si>
  <si>
    <t>Contracted Services:Outsourced Services:Transport Services</t>
  </si>
  <si>
    <t>Transfers and Subsidies:Operational:Allocations In-kind:Public Corporations:Other Transfers Public Corporations:Free State Development Corporation</t>
  </si>
  <si>
    <t>Disability</t>
  </si>
  <si>
    <t>Operational Cost:Remuneration to Ward Committees</t>
  </si>
  <si>
    <t>:Operational Cost:Travel and Subsistence:Domestic:Transport without Operator:Car Rental</t>
  </si>
  <si>
    <t>Whole of the District</t>
  </si>
  <si>
    <t xml:space="preserve">Frequent </t>
  </si>
  <si>
    <t>Outsourced Services:Business and Advisory:Occupational Health and Safety</t>
  </si>
  <si>
    <t>All Local Municipalities</t>
  </si>
  <si>
    <t>Clothing</t>
  </si>
  <si>
    <t>TOURISM MARKETING MATERIAL</t>
  </si>
  <si>
    <t>TOURISM DEVELOPMENT PROGRAMME</t>
  </si>
  <si>
    <t>Electricity Installation and Assembly(Payment to Eskom)</t>
  </si>
  <si>
    <t>A mobile solution for agribusiness to interact and transact with smallholder farmers</t>
  </si>
  <si>
    <t>Improve food security</t>
  </si>
  <si>
    <t>TMDM</t>
  </si>
  <si>
    <t>UPGRADE &amp; MAINTAIN GIS-LICENCE PAYMENT</t>
  </si>
  <si>
    <t>UPGRADE &amp; MAINTAIN IM &amp; ECS-DISASTER &amp; FIRE REPORTING SOFTWARE</t>
  </si>
  <si>
    <t>UPGRADE &amp; MAINTAIN EMERGENCY TELEPHONE SYSTEM</t>
  </si>
  <si>
    <t>PROCUREMENT &amp; MAINTAIN 2WAY RADIO COMMUNICATION SYSTEM</t>
  </si>
  <si>
    <t>PROCUREMENT OF CONSOLE FOR THE DISASTER OPERATION CENTRE</t>
  </si>
  <si>
    <t>DISASTER RESPONSE</t>
  </si>
  <si>
    <t>PROCUREMENT OF A TANKER PUMPER</t>
  </si>
  <si>
    <t>ANNUAL LECTURE(THABO MOFUTSANYANA MEMORIAL LECTURE)</t>
  </si>
  <si>
    <t>Municipal Running Costs</t>
  </si>
  <si>
    <t>Contracted Service: Catering and Transport</t>
  </si>
  <si>
    <t>Sports Conferderation Induction Workshops</t>
  </si>
  <si>
    <t>Whole District</t>
  </si>
  <si>
    <t>Contracted Services: Training Provider</t>
  </si>
  <si>
    <t>Contracted Services: Catering Service Provider</t>
  </si>
  <si>
    <t xml:space="preserve">SPORTS AND DEVELOPMENT </t>
  </si>
  <si>
    <t>FREQUENT</t>
  </si>
  <si>
    <t>Contracted Services: Services Providers for Catering</t>
  </si>
  <si>
    <t>Contracted Services: Contractor for transport</t>
  </si>
  <si>
    <t>CELEBRATION OF INTERNATIONAL DAY FOR DISASTER REDUCTION (IDDR)</t>
  </si>
  <si>
    <t>SAMPLING EQUIPMENT</t>
  </si>
  <si>
    <t>REVIEW OF MHS BY-LAW &amp; TARIFFS</t>
  </si>
  <si>
    <t>REPAIRS AND MAINTANANCE</t>
  </si>
  <si>
    <t>WORLD ENVIRONMENTAL  HEALTH DAY(HANDWASH CELEBRATION</t>
  </si>
  <si>
    <t>Setsoto,Phumelela</t>
  </si>
  <si>
    <t>DEVELOPMENT OF AN AIR QUALITY PLAN</t>
  </si>
  <si>
    <t>DEVELOPMENT OF AN AIR QUALITY BY-LAW</t>
  </si>
  <si>
    <t>DEVELOPMENT OF WASTE MANAGEMENT</t>
  </si>
  <si>
    <t>CLIMATE CHANGE FOOD GARDEN</t>
  </si>
  <si>
    <t>CLIMATE CHANGE ROLL OUT OF WONDERBAG</t>
  </si>
  <si>
    <t>CLIMAT CHANGE SCHOOL RAIN WATER HARVEST</t>
  </si>
  <si>
    <t>CLEANING CAMPAIGN PROGRAME/CLEARING OF ILLEGAL DUMPS</t>
  </si>
  <si>
    <t>GREENEST SCHOOLS AWARDS</t>
  </si>
  <si>
    <t>EXTERNAL NEWSLETTERS</t>
  </si>
  <si>
    <t>Quarterly</t>
  </si>
  <si>
    <t>EXTERNAL PUBLICATIONS</t>
  </si>
  <si>
    <t>BRANDING</t>
  </si>
  <si>
    <t>branded protective field clothing</t>
  </si>
  <si>
    <t>IDENTIFICATION OF MARGINALIZED COMMUNITIES</t>
  </si>
  <si>
    <t>MEDIA BULK BUYING</t>
  </si>
  <si>
    <t>LOCAL COMMUNICATION FORUM/DCF</t>
  </si>
  <si>
    <t>Workshops and Forums</t>
  </si>
  <si>
    <t>OFFICE FURNITURE</t>
  </si>
  <si>
    <t>Tables ,Chairs and Carboards</t>
  </si>
  <si>
    <t>Laptops</t>
  </si>
  <si>
    <t>FIELD PROTECTIVE CLOTHING</t>
  </si>
  <si>
    <t>Transfers and Subsidies:Bursaries (Non-Employee)</t>
  </si>
  <si>
    <t xml:space="preserve">PA SYSTEM AND VOICE RECORDERS </t>
  </si>
  <si>
    <t>Asset:PA SYSTEM</t>
  </si>
  <si>
    <t>DISABILITY GAMES    :CATERING</t>
  </si>
  <si>
    <t>NP ALLOWANCE</t>
  </si>
  <si>
    <t>MUNICIPAL GARDEN PROJECT</t>
  </si>
  <si>
    <t>FURNITURE AND EQUIPMENT:RECORDING DEVICE</t>
  </si>
  <si>
    <t>FIRST AID KID</t>
  </si>
  <si>
    <t>FURNITURE AND EQUIPMENT : RECORDING DEVICE</t>
  </si>
  <si>
    <t>FINALISATION OF CREDIBLE IDP : Catering services</t>
  </si>
  <si>
    <t>FINALISATION OF CREDIBLE IDP : Transport - events</t>
  </si>
  <si>
    <t>FINALISATION OF CREDIBLE IDP : Event Promoters</t>
  </si>
  <si>
    <t>GENDER &amp; DISABILITY : Catering services</t>
  </si>
  <si>
    <t>GENDER &amp; DISABILITY : Transport - events</t>
  </si>
  <si>
    <t>GENDER &amp; DISABILITY : Event Promoters</t>
  </si>
  <si>
    <t>HIV ADIS : Catering services</t>
  </si>
  <si>
    <t>HIV ADIS : Transport - events</t>
  </si>
  <si>
    <t>HIV ADIS : Event Promoters</t>
  </si>
  <si>
    <t>ICT &amp; PROGRAMMING : Recovery Centre Hosting Charges (backup)</t>
  </si>
  <si>
    <t>ICT &amp; PROGRAMMING : Internet Charge (ISP)</t>
  </si>
  <si>
    <t>ICT &amp; PROGRAMMING : Software Licences</t>
  </si>
  <si>
    <t xml:space="preserve">ICT &amp; PROGRAMMING : WEBSITE DEVELOPMENT </t>
  </si>
  <si>
    <t>MORAL REGENERATION : Catering services</t>
  </si>
  <si>
    <t>MORAL REGENERATION : Transport - events</t>
  </si>
  <si>
    <t>MORAL REGENERATION : Event Promoters</t>
  </si>
  <si>
    <t>MAYORAL IMBIZO : Catering services</t>
  </si>
  <si>
    <t>MAYORAL IMBIZO : Transport - events</t>
  </si>
  <si>
    <t>MAYORAL IMBIZO : Event Promoters</t>
  </si>
  <si>
    <t>PUBLIC PARTICIPATION : Catering services</t>
  </si>
  <si>
    <t>PUBLIC PARTICIPATION : Transport - events</t>
  </si>
  <si>
    <t>PUBLIC PARTICIPATION : Event Promoters</t>
  </si>
  <si>
    <t>TELEPHONE GENERAL : Cellular Contract (Subscription and Calls)</t>
  </si>
  <si>
    <t>TRAINING-WARD COMMITTEES : Catering services</t>
  </si>
  <si>
    <t>TRAINING-WARD COMMITTEES : Transport - events</t>
  </si>
  <si>
    <t>TRAINING-WARD COMMITTEES : Event Promoters</t>
  </si>
  <si>
    <t>TRAVELLING : Accommodation</t>
  </si>
  <si>
    <t>TRAVELLING : Daily Allowance</t>
  </si>
  <si>
    <t>TRAVELLING : Food and Beverage (Served)</t>
  </si>
  <si>
    <t>TRAVELLING : Car Rental</t>
  </si>
  <si>
    <t>TRAVELLING : Own Transport</t>
  </si>
  <si>
    <t>TRAVELLING : Air Transport</t>
  </si>
  <si>
    <t>TRAVELLING : Travel Agency and Visa's</t>
  </si>
  <si>
    <t xml:space="preserve">YOUTH DEVELOPMENT PROGRAMME : CATERING </t>
  </si>
  <si>
    <t>MANDELA DAY : Catering services</t>
  </si>
  <si>
    <t>MANDELA DAY : Transport - events</t>
  </si>
  <si>
    <t>MANDELA DAY : Event Promoters</t>
  </si>
  <si>
    <t>TRAVELLING : Non-employees</t>
  </si>
  <si>
    <t>DISABILITYAWARENESS : EVENT PROMOTERS</t>
  </si>
  <si>
    <t>DISABILITYAWARENESS : CATERING</t>
  </si>
  <si>
    <t>DISABILITYAWARENESS : TRANSPORT</t>
  </si>
  <si>
    <t xml:space="preserve"> YOUTH DEVELOPMENT PROGRAMME    :CATERING </t>
  </si>
  <si>
    <t xml:space="preserve"> CREDIBLE IDP  - EVENT PROMOTERS</t>
  </si>
  <si>
    <t>DEVELOPMENT OF WASTE MANAGEMENT PLAN</t>
  </si>
  <si>
    <t>CONSULTANCY FEES-MFMA SUPPORT</t>
  </si>
  <si>
    <t>CLEANING MATERIAL</t>
  </si>
  <si>
    <t>COLLECTION AND TESTING SAMPLES</t>
  </si>
  <si>
    <t>MUNICIPAL SERVICES</t>
  </si>
  <si>
    <t>TESTING CHEMICALS</t>
  </si>
  <si>
    <t>ALARM SYSTEM</t>
  </si>
  <si>
    <t>PETROL AND FUEL</t>
  </si>
  <si>
    <t>TELEPHONE SYSTEM</t>
  </si>
  <si>
    <t>LAB MANAGEMENT INFORMATION SYSTEM</t>
  </si>
  <si>
    <t>INSURANCE</t>
  </si>
  <si>
    <t>MARKETING</t>
  </si>
  <si>
    <t xml:space="preserve">WORKSHOP: CATERING </t>
  </si>
  <si>
    <t>CONSULTANCY FEES-MSCOA SUPPORT</t>
  </si>
  <si>
    <t>CONSULTANCY FEES</t>
  </si>
  <si>
    <t>DISTRICT DEVELOPMENT MODEL READINESS(PLAN)</t>
  </si>
  <si>
    <t>PLANT AND MACHINERY(CLOCKING SYSTEM</t>
  </si>
  <si>
    <t xml:space="preserve"> Adjustment Budget 2021/2022</t>
  </si>
  <si>
    <t xml:space="preserve">  Budget 2021/2022</t>
  </si>
  <si>
    <t>TOTAL REMUNERATION OF COUNCILLORS</t>
  </si>
  <si>
    <t>COUNCILLORS RELATED COSTS - SOCIAL CONTR</t>
  </si>
  <si>
    <t>SUB-TOTAL CLLRS REL COSTS - SOCIAL CONTR</t>
  </si>
  <si>
    <t>POVERTY ALLEVIATION-CATERING</t>
  </si>
  <si>
    <t>PROPERTY, PLANT &amp; EQUIPMENT</t>
  </si>
  <si>
    <t>SUB-TOTAL PROPERTY, PLANT &amp; EQUIPMENT</t>
  </si>
  <si>
    <t>INCOME</t>
  </si>
  <si>
    <t>TOTAL INCOME</t>
  </si>
  <si>
    <t>RURAL COMMUNITY SUPPORT (Farmers Support )</t>
  </si>
  <si>
    <t>MUNICIPAL AWARDS</t>
  </si>
  <si>
    <t>REPAIRS &amp; MAINTENANCE</t>
  </si>
  <si>
    <t>PROPERTY PLANT &amp; EQUIPMENT (ACQUISITION)</t>
  </si>
  <si>
    <t>ENERGY EFFICIENT &amp; DEMAND  SIDE MANAGEMENT (EEDSM) GRANT</t>
  </si>
  <si>
    <t>RURAL ASSETS MANAGEMENT SYSTEM (RRAMS) GRANT</t>
  </si>
  <si>
    <t>OTHER INCOME</t>
  </si>
  <si>
    <t>CASH BACKED ACCUMULATED FUNDS (PRIOR YEAR SURPLUS)</t>
  </si>
  <si>
    <t>ENERGY EFFICIENCY &amp; DEMAND SUPPLY</t>
  </si>
  <si>
    <t>SUNDRY REVENUE - LABORATORY SERVICES</t>
  </si>
  <si>
    <t>SUNDRY INCOME - LABORATORY SERVICES</t>
  </si>
  <si>
    <t>OPEX</t>
  </si>
  <si>
    <t>Proposed Budget 2024/2025</t>
  </si>
  <si>
    <t>SHIFT AND NIGHT SHIFT ALLOWANCE</t>
  </si>
  <si>
    <t>STANDBY ALLOWANCE/NP ALLOWANCE</t>
  </si>
  <si>
    <t>CAPITAL REPLACEMENT RESERVES(DEPRECIATION)</t>
  </si>
  <si>
    <t>CASH BACKED RESERVES (LABORATORY SERVICES)</t>
  </si>
  <si>
    <t>PRINTER</t>
  </si>
  <si>
    <t>MANAGEMENT INFORMATION SYSTEM(LICENSES)</t>
  </si>
  <si>
    <t>MANAGEMENT INFORMATION SYSTEM</t>
  </si>
  <si>
    <t>CASH BACKED RESERVES(LABOLATORY SERVICES)</t>
  </si>
  <si>
    <t>Proposed Budget 202242025</t>
  </si>
  <si>
    <t>MFMA SUPPORT PROGRAMME(INTERNS) -SDL</t>
  </si>
  <si>
    <t>ALLOWANCE-KM REIMBURSEMENT</t>
  </si>
  <si>
    <t>DISTRICT MAYORAL GAMES</t>
  </si>
  <si>
    <t>DISTRICT TOURISM FESTIVAL</t>
  </si>
  <si>
    <t>MAINT: REPAIRS &amp; MAINTENANCE (LAB)</t>
  </si>
  <si>
    <t>TELEPHONE GENERAL : Telephone, Fax</t>
  </si>
  <si>
    <t>MANAGEMENT INFORMATION SYSTEM (LAB)</t>
  </si>
  <si>
    <t>OFFICE REFRESHMENTS</t>
  </si>
  <si>
    <t>MAYORAL COMMITTEE MEETING-CATERING</t>
  </si>
  <si>
    <t>MEDIUM TERM REVENUE AND EXPENDITURE FRAMEWORK   BUDGET   2022/23,2023/2024 AND 2024/2025</t>
  </si>
  <si>
    <t xml:space="preserve">DEPARTMENTAL MEETINGS: CATERING </t>
  </si>
  <si>
    <t>2nd Adjustment 2021/2022</t>
  </si>
  <si>
    <t>Proposed Special Adjustment</t>
  </si>
  <si>
    <t>PLANT AND MACHINERY</t>
  </si>
  <si>
    <t>PROPERTY PLANT &amp; EQUIPMENT</t>
  </si>
  <si>
    <t>NAT GR - WASTE MANAGEMENT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</si>
</sst>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_ ;_ * \-#,##0_ ;_ * &quot;-&quot;_ ;_ @_ "/>
    <numFmt numFmtId="167" formatCode="_ * #,##0.00_ ;_ * \-#,##0.00_ ;_ * &quot;-&quot;??_ ;_ @_ "/>
    <numFmt numFmtId="168" formatCode="_ * #,##0_ ;_ * \-#,##0_ ;_ * &quot;-&quot;??_ ;_ @_ "/>
    <numFmt numFmtId="169" formatCode="_(* #,##0_);_(* \(#,##0\);_(* &quot;-&quot;??_);_(@_)"/>
  </numFmts>
  <fonts count="6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4"/>
      <color theme="1"/>
      <name val="Arial Narrow"/>
      <family val="2"/>
    </font>
    <font>
      <sz val="10"/>
      <color theme="1"/>
      <name val="Arial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indexed="8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"/>
      <family val="2"/>
    </font>
    <font>
      <sz val="12"/>
      <color rgb="FF080808"/>
      <name val="Arial Narrow"/>
      <family val="2"/>
    </font>
    <font>
      <b/>
      <sz val="14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i/>
      <sz val="8"/>
      <name val="Arial"/>
      <family val="2"/>
    </font>
    <font>
      <u/>
      <sz val="8"/>
      <name val="Arial Narrow"/>
      <family val="2"/>
    </font>
    <font>
      <b/>
      <u/>
      <sz val="8"/>
      <name val="Arial Narrow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2"/>
      <color rgb="FF000008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rgb="FF080808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2"/>
      <color theme="1"/>
      <name val="Arial Narrow"/>
      <family val="2"/>
    </font>
    <font>
      <sz val="10"/>
      <color theme="1"/>
      <name val="Arial Narrow"/>
      <family val="2"/>
    </font>
    <font>
      <i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i/>
      <sz val="12"/>
      <color indexed="8"/>
      <name val="Arial Narrow"/>
      <family val="2"/>
    </font>
    <font>
      <b/>
      <sz val="12"/>
      <color rgb="FFFF0000"/>
      <name val="Arial Narrow"/>
      <family val="2"/>
    </font>
    <font>
      <sz val="12"/>
      <color rgb="FFFF0000"/>
      <name val="Arial Narrow"/>
      <family val="2"/>
    </font>
    <font>
      <b/>
      <sz val="12"/>
      <color rgb="FF000008"/>
      <name val="Arial Narrow"/>
      <family val="2"/>
    </font>
    <font>
      <b/>
      <sz val="12"/>
      <color rgb="FF080808"/>
      <name val="Arial Narrow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167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7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9" fillId="0" borderId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32" fillId="4" borderId="1" applyBorder="0" applyAlignment="0">
      <alignment horizontal="left" vertical="top" wrapText="1"/>
    </xf>
    <xf numFmtId="167" fontId="1" fillId="0" borderId="0" applyFont="0" applyFill="0" applyBorder="0" applyAlignment="0" applyProtection="0"/>
  </cellStyleXfs>
  <cellXfs count="930">
    <xf numFmtId="0" fontId="0" fillId="0" borderId="0" xfId="0"/>
    <xf numFmtId="0" fontId="6" fillId="0" borderId="0" xfId="0" applyFont="1"/>
    <xf numFmtId="0" fontId="3" fillId="0" borderId="18" xfId="5" applyBorder="1"/>
    <xf numFmtId="169" fontId="0" fillId="0" borderId="20" xfId="6" applyNumberFormat="1" applyFont="1" applyBorder="1"/>
    <xf numFmtId="169" fontId="0" fillId="0" borderId="20" xfId="6" applyNumberFormat="1" applyFont="1" applyBorder="1" applyAlignment="1">
      <alignment horizontal="center"/>
    </xf>
    <xf numFmtId="169" fontId="0" fillId="0" borderId="20" xfId="6" applyNumberFormat="1" applyFont="1" applyBorder="1" applyAlignment="1">
      <alignment wrapText="1"/>
    </xf>
    <xf numFmtId="0" fontId="3" fillId="0" borderId="18" xfId="5" applyBorder="1" applyAlignment="1">
      <alignment wrapText="1"/>
    </xf>
    <xf numFmtId="0" fontId="3" fillId="0" borderId="19" xfId="5" applyBorder="1" applyAlignment="1">
      <alignment wrapText="1"/>
    </xf>
    <xf numFmtId="169" fontId="0" fillId="0" borderId="21" xfId="6" applyNumberFormat="1" applyFont="1" applyBorder="1"/>
    <xf numFmtId="169" fontId="0" fillId="0" borderId="21" xfId="6" applyNumberFormat="1" applyFont="1" applyBorder="1" applyAlignment="1">
      <alignment horizontal="center"/>
    </xf>
    <xf numFmtId="0" fontId="11" fillId="0" borderId="5" xfId="5" applyFont="1" applyBorder="1"/>
    <xf numFmtId="169" fontId="9" fillId="0" borderId="6" xfId="6" applyNumberFormat="1" applyFont="1" applyBorder="1"/>
    <xf numFmtId="3" fontId="9" fillId="0" borderId="1" xfId="5" applyNumberFormat="1" applyFont="1" applyBorder="1"/>
    <xf numFmtId="0" fontId="12" fillId="0" borderId="0" xfId="0" applyFont="1"/>
    <xf numFmtId="0" fontId="2" fillId="0" borderId="18" xfId="5" applyFont="1" applyBorder="1"/>
    <xf numFmtId="0" fontId="14" fillId="0" borderId="0" xfId="0" applyFont="1"/>
    <xf numFmtId="0" fontId="16" fillId="0" borderId="0" xfId="0" applyFont="1" applyAlignment="1" applyProtection="1">
      <alignment horizontal="left" vertical="top"/>
      <protection locked="0"/>
    </xf>
    <xf numFmtId="0" fontId="18" fillId="0" borderId="0" xfId="0" applyFont="1"/>
    <xf numFmtId="0" fontId="1" fillId="0" borderId="0" xfId="7"/>
    <xf numFmtId="0" fontId="21" fillId="0" borderId="25" xfId="7" applyFont="1" applyBorder="1" applyAlignment="1">
      <alignment horizontal="center"/>
    </xf>
    <xf numFmtId="0" fontId="22" fillId="0" borderId="17" xfId="7" applyFont="1" applyBorder="1"/>
    <xf numFmtId="0" fontId="21" fillId="0" borderId="26" xfId="7" applyFont="1" applyBorder="1" applyAlignment="1">
      <alignment horizontal="left" indent="2"/>
    </xf>
    <xf numFmtId="0" fontId="1" fillId="4" borderId="0" xfId="7" applyFill="1"/>
    <xf numFmtId="0" fontId="23" fillId="0" borderId="17" xfId="7" applyFont="1" applyBorder="1" applyAlignment="1">
      <alignment horizontal="left" indent="1"/>
    </xf>
    <xf numFmtId="0" fontId="24" fillId="0" borderId="26" xfId="7" applyFont="1" applyBorder="1" applyAlignment="1">
      <alignment horizontal="left" vertical="top" wrapText="1" indent="3"/>
    </xf>
    <xf numFmtId="0" fontId="1" fillId="0" borderId="1" xfId="7" applyBorder="1"/>
    <xf numFmtId="0" fontId="25" fillId="0" borderId="27" xfId="7" applyFont="1" applyBorder="1" applyAlignment="1">
      <alignment horizontal="center"/>
    </xf>
    <xf numFmtId="0" fontId="25" fillId="0" borderId="25" xfId="7" applyFont="1" applyBorder="1" applyAlignment="1">
      <alignment horizontal="center"/>
    </xf>
    <xf numFmtId="0" fontId="1" fillId="4" borderId="24" xfId="7" applyFill="1" applyBorder="1"/>
    <xf numFmtId="0" fontId="1" fillId="4" borderId="28" xfId="7" applyFill="1" applyBorder="1"/>
    <xf numFmtId="0" fontId="1" fillId="4" borderId="29" xfId="7" applyFill="1" applyBorder="1"/>
    <xf numFmtId="0" fontId="1" fillId="0" borderId="19" xfId="7" applyBorder="1"/>
    <xf numFmtId="0" fontId="1" fillId="4" borderId="11" xfId="7" applyFill="1" applyBorder="1"/>
    <xf numFmtId="0" fontId="1" fillId="4" borderId="10" xfId="7" applyFill="1" applyBorder="1"/>
    <xf numFmtId="0" fontId="1" fillId="4" borderId="9" xfId="7" applyFill="1" applyBorder="1"/>
    <xf numFmtId="0" fontId="26" fillId="0" borderId="17" xfId="7" applyFont="1" applyBorder="1"/>
    <xf numFmtId="0" fontId="13" fillId="0" borderId="0" xfId="7" applyFont="1"/>
    <xf numFmtId="169" fontId="13" fillId="0" borderId="0" xfId="8" applyNumberFormat="1" applyFont="1"/>
    <xf numFmtId="165" fontId="13" fillId="0" borderId="0" xfId="8" applyFont="1"/>
    <xf numFmtId="164" fontId="13" fillId="0" borderId="0" xfId="7" applyNumberFormat="1" applyFont="1"/>
    <xf numFmtId="0" fontId="13" fillId="0" borderId="0" xfId="7" applyFont="1" applyAlignment="1">
      <alignment wrapText="1"/>
    </xf>
    <xf numFmtId="169" fontId="27" fillId="0" borderId="0" xfId="8" applyNumberFormat="1" applyFont="1" applyAlignment="1">
      <alignment horizontal="centerContinuous"/>
    </xf>
    <xf numFmtId="164" fontId="13" fillId="0" borderId="3" xfId="7" applyNumberFormat="1" applyFont="1" applyBorder="1"/>
    <xf numFmtId="0" fontId="13" fillId="0" borderId="17" xfId="7" applyFont="1" applyBorder="1" applyAlignment="1">
      <alignment wrapText="1"/>
    </xf>
    <xf numFmtId="164" fontId="28" fillId="12" borderId="16" xfId="7" applyNumberFormat="1" applyFont="1" applyFill="1" applyBorder="1"/>
    <xf numFmtId="0" fontId="28" fillId="12" borderId="5" xfId="7" applyFont="1" applyFill="1" applyBorder="1" applyAlignment="1">
      <alignment wrapText="1"/>
    </xf>
    <xf numFmtId="164" fontId="13" fillId="0" borderId="18" xfId="7" applyNumberFormat="1" applyFont="1" applyBorder="1"/>
    <xf numFmtId="164" fontId="28" fillId="12" borderId="1" xfId="7" applyNumberFormat="1" applyFont="1" applyFill="1" applyBorder="1"/>
    <xf numFmtId="0" fontId="29" fillId="0" borderId="0" xfId="7" applyFont="1" applyAlignment="1">
      <alignment wrapText="1"/>
    </xf>
    <xf numFmtId="3" fontId="29" fillId="0" borderId="0" xfId="9" applyNumberFormat="1" applyAlignment="1">
      <alignment wrapText="1"/>
    </xf>
    <xf numFmtId="0" fontId="10" fillId="13" borderId="17" xfId="7" applyFont="1" applyFill="1" applyBorder="1" applyAlignment="1">
      <alignment wrapText="1"/>
    </xf>
    <xf numFmtId="164" fontId="13" fillId="0" borderId="16" xfId="7" applyNumberFormat="1" applyFont="1" applyBorder="1"/>
    <xf numFmtId="164" fontId="28" fillId="12" borderId="6" xfId="7" applyNumberFormat="1" applyFont="1" applyFill="1" applyBorder="1"/>
    <xf numFmtId="0" fontId="28" fillId="12" borderId="1" xfId="7" applyFont="1" applyFill="1" applyBorder="1" applyAlignment="1">
      <alignment wrapText="1"/>
    </xf>
    <xf numFmtId="164" fontId="13" fillId="0" borderId="20" xfId="7" applyNumberFormat="1" applyFont="1" applyBorder="1"/>
    <xf numFmtId="0" fontId="13" fillId="0" borderId="18" xfId="7" applyFont="1" applyBorder="1" applyAlignment="1">
      <alignment wrapText="1"/>
    </xf>
    <xf numFmtId="0" fontId="10" fillId="13" borderId="18" xfId="7" applyFont="1" applyFill="1" applyBorder="1" applyAlignment="1">
      <alignment wrapText="1"/>
    </xf>
    <xf numFmtId="0" fontId="28" fillId="0" borderId="0" xfId="7" applyFont="1"/>
    <xf numFmtId="169" fontId="28" fillId="0" borderId="0" xfId="8" applyNumberFormat="1" applyFont="1"/>
    <xf numFmtId="165" fontId="28" fillId="0" borderId="0" xfId="8" applyFont="1"/>
    <xf numFmtId="169" fontId="30" fillId="12" borderId="1" xfId="8" quotePrefix="1" applyNumberFormat="1" applyFont="1" applyFill="1" applyBorder="1" applyAlignment="1">
      <alignment horizontal="center"/>
    </xf>
    <xf numFmtId="0" fontId="13" fillId="0" borderId="1" xfId="7" applyFont="1" applyBorder="1"/>
    <xf numFmtId="0" fontId="13" fillId="0" borderId="16" xfId="7" applyFont="1" applyBorder="1"/>
    <xf numFmtId="0" fontId="13" fillId="0" borderId="18" xfId="7" applyFont="1" applyBorder="1"/>
    <xf numFmtId="0" fontId="13" fillId="0" borderId="19" xfId="7" applyFont="1" applyBorder="1"/>
    <xf numFmtId="0" fontId="10" fillId="14" borderId="1" xfId="7" applyFont="1" applyFill="1" applyBorder="1" applyAlignment="1">
      <alignment wrapText="1"/>
    </xf>
    <xf numFmtId="169" fontId="10" fillId="14" borderId="1" xfId="8" applyNumberFormat="1" applyFont="1" applyFill="1" applyBorder="1" applyAlignment="1">
      <alignment wrapText="1"/>
    </xf>
    <xf numFmtId="0" fontId="13" fillId="10" borderId="30" xfId="7" applyFont="1" applyFill="1" applyBorder="1" applyAlignment="1">
      <alignment wrapText="1"/>
    </xf>
    <xf numFmtId="0" fontId="13" fillId="0" borderId="16" xfId="7" applyFont="1" applyBorder="1" applyAlignment="1">
      <alignment wrapText="1"/>
    </xf>
    <xf numFmtId="169" fontId="13" fillId="0" borderId="16" xfId="8" applyNumberFormat="1" applyFont="1" applyBorder="1" applyAlignment="1">
      <alignment wrapText="1"/>
    </xf>
    <xf numFmtId="0" fontId="13" fillId="0" borderId="31" xfId="7" applyFont="1" applyBorder="1" applyAlignment="1">
      <alignment wrapText="1"/>
    </xf>
    <xf numFmtId="169" fontId="13" fillId="0" borderId="18" xfId="8" applyNumberFormat="1" applyFont="1" applyBorder="1" applyAlignment="1">
      <alignment wrapText="1"/>
    </xf>
    <xf numFmtId="166" fontId="13" fillId="0" borderId="18" xfId="8" applyNumberFormat="1" applyFont="1" applyBorder="1" applyAlignment="1">
      <alignment horizontal="right" wrapText="1"/>
    </xf>
    <xf numFmtId="0" fontId="13" fillId="0" borderId="19" xfId="7" applyFont="1" applyBorder="1" applyAlignment="1">
      <alignment wrapText="1"/>
    </xf>
    <xf numFmtId="169" fontId="13" fillId="0" borderId="1" xfId="8" applyNumberFormat="1" applyFont="1" applyBorder="1" applyAlignment="1">
      <alignment wrapText="1"/>
    </xf>
    <xf numFmtId="0" fontId="13" fillId="10" borderId="31" xfId="7" applyFont="1" applyFill="1" applyBorder="1" applyAlignment="1">
      <alignment wrapText="1"/>
    </xf>
    <xf numFmtId="169" fontId="13" fillId="0" borderId="19" xfId="8" applyNumberFormat="1" applyFont="1" applyBorder="1" applyAlignment="1">
      <alignment wrapText="1"/>
    </xf>
    <xf numFmtId="0" fontId="13" fillId="0" borderId="32" xfId="7" applyFont="1" applyBorder="1" applyAlignment="1">
      <alignment wrapText="1"/>
    </xf>
    <xf numFmtId="169" fontId="13" fillId="0" borderId="2" xfId="8" applyNumberFormat="1" applyFont="1" applyBorder="1" applyAlignment="1">
      <alignment wrapText="1"/>
    </xf>
    <xf numFmtId="169" fontId="13" fillId="0" borderId="0" xfId="8" applyNumberFormat="1" applyFont="1" applyAlignment="1">
      <alignment wrapText="1"/>
    </xf>
    <xf numFmtId="0" fontId="29" fillId="0" borderId="0" xfId="9"/>
    <xf numFmtId="0" fontId="10" fillId="14" borderId="1" xfId="9" applyFont="1" applyFill="1" applyBorder="1" applyAlignment="1">
      <alignment horizontal="center"/>
    </xf>
    <xf numFmtId="0" fontId="10" fillId="14" borderId="1" xfId="9" applyFont="1" applyFill="1" applyBorder="1" applyAlignment="1">
      <alignment horizontal="center" wrapText="1"/>
    </xf>
    <xf numFmtId="0" fontId="10" fillId="7" borderId="0" xfId="9" applyFont="1" applyFill="1"/>
    <xf numFmtId="168" fontId="29" fillId="0" borderId="0" xfId="10" applyNumberFormat="1"/>
    <xf numFmtId="0" fontId="31" fillId="0" borderId="1" xfId="9" applyFont="1" applyBorder="1"/>
    <xf numFmtId="168" fontId="31" fillId="0" borderId="7" xfId="10" applyNumberFormat="1" applyFont="1" applyBorder="1"/>
    <xf numFmtId="0" fontId="29" fillId="9" borderId="1" xfId="9" applyFill="1" applyBorder="1" applyAlignment="1">
      <alignment horizontal="left" vertical="top"/>
    </xf>
    <xf numFmtId="168" fontId="29" fillId="0" borderId="16" xfId="11" applyNumberFormat="1" applyBorder="1"/>
    <xf numFmtId="168" fontId="29" fillId="0" borderId="1" xfId="10" applyNumberFormat="1" applyBorder="1"/>
    <xf numFmtId="168" fontId="29" fillId="9" borderId="1" xfId="10" applyNumberFormat="1" applyFill="1" applyBorder="1" applyAlignment="1">
      <alignment horizontal="left" vertical="top"/>
    </xf>
    <xf numFmtId="168" fontId="29" fillId="0" borderId="18" xfId="11" applyNumberFormat="1" applyBorder="1"/>
    <xf numFmtId="168" fontId="29" fillId="0" borderId="1" xfId="11" applyNumberFormat="1" applyBorder="1"/>
    <xf numFmtId="168" fontId="29" fillId="0" borderId="19" xfId="11" applyNumberFormat="1" applyBorder="1"/>
    <xf numFmtId="0" fontId="10" fillId="15" borderId="1" xfId="9" applyFont="1" applyFill="1" applyBorder="1" applyAlignment="1">
      <alignment horizontal="center"/>
    </xf>
    <xf numFmtId="0" fontId="10" fillId="15" borderId="1" xfId="9" applyFont="1" applyFill="1" applyBorder="1" applyAlignment="1">
      <alignment horizontal="center" wrapText="1"/>
    </xf>
    <xf numFmtId="0" fontId="10" fillId="7" borderId="1" xfId="9" applyFont="1" applyFill="1" applyBorder="1"/>
    <xf numFmtId="0" fontId="10" fillId="0" borderId="1" xfId="9" applyFont="1" applyBorder="1" applyAlignment="1">
      <alignment horizontal="center"/>
    </xf>
    <xf numFmtId="0" fontId="10" fillId="0" borderId="1" xfId="9" applyFont="1" applyBorder="1" applyAlignment="1">
      <alignment horizontal="center" wrapText="1"/>
    </xf>
    <xf numFmtId="168" fontId="31" fillId="0" borderId="1" xfId="9" applyNumberFormat="1" applyFont="1" applyBorder="1" applyAlignment="1">
      <alignment horizontal="center"/>
    </xf>
    <xf numFmtId="0" fontId="29" fillId="0" borderId="1" xfId="9" applyBorder="1" applyAlignment="1">
      <alignment horizontal="left" vertical="top"/>
    </xf>
    <xf numFmtId="168" fontId="29" fillId="0" borderId="1" xfId="10" applyNumberFormat="1" applyBorder="1" applyAlignment="1">
      <alignment horizontal="left" vertical="top"/>
    </xf>
    <xf numFmtId="168" fontId="29" fillId="9" borderId="1" xfId="10" applyNumberFormat="1" applyFill="1" applyBorder="1"/>
    <xf numFmtId="168" fontId="0" fillId="0" borderId="19" xfId="10" applyNumberFormat="1" applyFont="1" applyBorder="1"/>
    <xf numFmtId="168" fontId="31" fillId="0" borderId="1" xfId="10" applyNumberFormat="1" applyFont="1" applyBorder="1"/>
    <xf numFmtId="0" fontId="29" fillId="0" borderId="0" xfId="9" applyAlignment="1">
      <alignment horizontal="left" vertical="top"/>
    </xf>
    <xf numFmtId="168" fontId="29" fillId="0" borderId="0" xfId="10" applyNumberFormat="1" applyAlignment="1">
      <alignment horizontal="left" vertical="top"/>
    </xf>
    <xf numFmtId="168" fontId="31" fillId="0" borderId="19" xfId="10" applyNumberFormat="1" applyFont="1" applyBorder="1"/>
    <xf numFmtId="0" fontId="31" fillId="0" borderId="5" xfId="9" applyFont="1" applyBorder="1" applyAlignment="1">
      <alignment horizontal="left" vertical="top"/>
    </xf>
    <xf numFmtId="168" fontId="31" fillId="0" borderId="5" xfId="10" applyNumberFormat="1" applyFont="1" applyBorder="1" applyAlignment="1">
      <alignment horizontal="left" vertical="top"/>
    </xf>
    <xf numFmtId="0" fontId="29" fillId="0" borderId="5" xfId="9" applyBorder="1" applyAlignment="1">
      <alignment horizontal="left" vertical="top"/>
    </xf>
    <xf numFmtId="168" fontId="29" fillId="0" borderId="5" xfId="10" applyNumberFormat="1" applyBorder="1" applyAlignment="1">
      <alignment horizontal="left" vertical="top"/>
    </xf>
    <xf numFmtId="168" fontId="29" fillId="0" borderId="5" xfId="10" applyNumberFormat="1" applyBorder="1"/>
    <xf numFmtId="168" fontId="31" fillId="15" borderId="1" xfId="10" applyNumberFormat="1" applyFont="1" applyFill="1" applyBorder="1"/>
    <xf numFmtId="167" fontId="29" fillId="0" borderId="0" xfId="9" applyNumberFormat="1"/>
    <xf numFmtId="0" fontId="10" fillId="7" borderId="1" xfId="7" applyFont="1" applyFill="1" applyBorder="1"/>
    <xf numFmtId="0" fontId="31" fillId="9" borderId="1" xfId="9" applyFont="1" applyFill="1" applyBorder="1" applyAlignment="1">
      <alignment horizontal="left" vertical="top"/>
    </xf>
    <xf numFmtId="168" fontId="29" fillId="0" borderId="1" xfId="9" applyNumberFormat="1" applyBorder="1"/>
    <xf numFmtId="168" fontId="29" fillId="0" borderId="0" xfId="9" applyNumberFormat="1"/>
    <xf numFmtId="168" fontId="29" fillId="0" borderId="20" xfId="10" applyNumberFormat="1" applyBorder="1"/>
    <xf numFmtId="0" fontId="33" fillId="4" borderId="1" xfId="12" applyFont="1" applyAlignment="1">
      <alignment horizontal="left" vertical="top"/>
    </xf>
    <xf numFmtId="168" fontId="33" fillId="0" borderId="1" xfId="10" applyNumberFormat="1" applyFont="1" applyBorder="1" applyAlignment="1">
      <alignment horizontal="left" vertical="top"/>
    </xf>
    <xf numFmtId="168" fontId="31" fillId="10" borderId="0" xfId="9" applyNumberFormat="1" applyFont="1" applyFill="1"/>
    <xf numFmtId="168" fontId="29" fillId="0" borderId="0" xfId="13" applyNumberFormat="1" applyFont="1"/>
    <xf numFmtId="167" fontId="13" fillId="0" borderId="0" xfId="7" applyNumberFormat="1" applyFont="1"/>
    <xf numFmtId="164" fontId="13" fillId="0" borderId="13" xfId="7" applyNumberFormat="1" applyFont="1" applyBorder="1"/>
    <xf numFmtId="0" fontId="15" fillId="3" borderId="0" xfId="0" applyFont="1" applyFill="1"/>
    <xf numFmtId="0" fontId="34" fillId="3" borderId="0" xfId="0" applyFont="1" applyFill="1"/>
    <xf numFmtId="0" fontId="14" fillId="3" borderId="0" xfId="0" applyFont="1" applyFill="1"/>
    <xf numFmtId="0" fontId="19" fillId="3" borderId="0" xfId="0" applyFont="1" applyFill="1"/>
    <xf numFmtId="0" fontId="17" fillId="3" borderId="5" xfId="0" applyFont="1" applyFill="1" applyBorder="1"/>
    <xf numFmtId="0" fontId="17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 applyAlignment="1" applyProtection="1">
      <alignment horizontal="left" vertical="top"/>
      <protection locked="0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37" fontId="42" fillId="0" borderId="0" xfId="0" applyNumberFormat="1" applyFont="1"/>
    <xf numFmtId="9" fontId="42" fillId="0" borderId="0" xfId="0" applyNumberFormat="1" applyFont="1"/>
    <xf numFmtId="37" fontId="42" fillId="4" borderId="0" xfId="0" applyNumberFormat="1" applyFont="1" applyFill="1"/>
    <xf numFmtId="0" fontId="42" fillId="4" borderId="0" xfId="0" applyFont="1" applyFill="1"/>
    <xf numFmtId="37" fontId="41" fillId="0" borderId="34" xfId="0" applyNumberFormat="1" applyFont="1" applyBorder="1"/>
    <xf numFmtId="37" fontId="43" fillId="0" borderId="0" xfId="0" applyNumberFormat="1" applyFont="1"/>
    <xf numFmtId="37" fontId="6" fillId="0" borderId="0" xfId="0" applyNumberFormat="1" applyFont="1"/>
    <xf numFmtId="37" fontId="44" fillId="0" borderId="0" xfId="0" applyNumberFormat="1" applyFont="1"/>
    <xf numFmtId="37" fontId="0" fillId="0" borderId="0" xfId="0" applyNumberFormat="1"/>
    <xf numFmtId="0" fontId="20" fillId="0" borderId="0" xfId="0" applyFont="1"/>
    <xf numFmtId="0" fontId="20" fillId="0" borderId="0" xfId="0" applyFont="1" applyAlignment="1">
      <alignment horizontal="center" wrapText="1"/>
    </xf>
    <xf numFmtId="37" fontId="12" fillId="0" borderId="0" xfId="0" applyNumberFormat="1" applyFont="1"/>
    <xf numFmtId="9" fontId="12" fillId="0" borderId="0" xfId="0" applyNumberFormat="1" applyFont="1"/>
    <xf numFmtId="37" fontId="20" fillId="0" borderId="2" xfId="0" applyNumberFormat="1" applyFont="1" applyBorder="1"/>
    <xf numFmtId="9" fontId="20" fillId="0" borderId="2" xfId="0" applyNumberFormat="1" applyFont="1" applyBorder="1"/>
    <xf numFmtId="37" fontId="20" fillId="0" borderId="0" xfId="0" applyNumberFormat="1" applyFont="1"/>
    <xf numFmtId="9" fontId="20" fillId="0" borderId="0" xfId="0" applyNumberFormat="1" applyFont="1"/>
    <xf numFmtId="37" fontId="20" fillId="0" borderId="4" xfId="0" applyNumberFormat="1" applyFont="1" applyBorder="1"/>
    <xf numFmtId="9" fontId="20" fillId="0" borderId="4" xfId="0" applyNumberFormat="1" applyFont="1" applyBorder="1"/>
    <xf numFmtId="37" fontId="45" fillId="0" borderId="0" xfId="0" applyNumberFormat="1" applyFont="1"/>
    <xf numFmtId="37" fontId="20" fillId="0" borderId="9" xfId="0" applyNumberFormat="1" applyFont="1" applyBorder="1"/>
    <xf numFmtId="37" fontId="20" fillId="0" borderId="10" xfId="0" applyNumberFormat="1" applyFont="1" applyBorder="1"/>
    <xf numFmtId="9" fontId="20" fillId="0" borderId="11" xfId="0" applyNumberFormat="1" applyFont="1" applyBorder="1"/>
    <xf numFmtId="37" fontId="46" fillId="0" borderId="0" xfId="0" applyNumberFormat="1" applyFont="1"/>
    <xf numFmtId="9" fontId="46" fillId="0" borderId="0" xfId="0" applyNumberFormat="1" applyFont="1"/>
    <xf numFmtId="9" fontId="15" fillId="0" borderId="0" xfId="0" applyNumberFormat="1" applyFont="1"/>
    <xf numFmtId="9" fontId="47" fillId="0" borderId="0" xfId="0" applyNumberFormat="1" applyFont="1"/>
    <xf numFmtId="37" fontId="15" fillId="0" borderId="0" xfId="0" applyNumberFormat="1" applyFont="1"/>
    <xf numFmtId="169" fontId="0" fillId="0" borderId="0" xfId="0" applyNumberFormat="1"/>
    <xf numFmtId="167" fontId="0" fillId="0" borderId="17" xfId="3" applyFont="1" applyBorder="1"/>
    <xf numFmtId="167" fontId="0" fillId="0" borderId="18" xfId="3" applyFont="1" applyBorder="1"/>
    <xf numFmtId="167" fontId="0" fillId="0" borderId="14" xfId="3" applyFont="1" applyBorder="1"/>
    <xf numFmtId="167" fontId="0" fillId="0" borderId="19" xfId="3" applyFont="1" applyBorder="1"/>
    <xf numFmtId="0" fontId="0" fillId="16" borderId="9" xfId="0" applyFill="1" applyBorder="1" applyAlignment="1">
      <alignment wrapText="1"/>
    </xf>
    <xf numFmtId="0" fontId="0" fillId="16" borderId="34" xfId="0" applyFill="1" applyBorder="1" applyAlignment="1">
      <alignment wrapText="1"/>
    </xf>
    <xf numFmtId="167" fontId="0" fillId="16" borderId="13" xfId="0" applyNumberFormat="1" applyFill="1" applyBorder="1"/>
    <xf numFmtId="43" fontId="0" fillId="0" borderId="0" xfId="0" applyNumberFormat="1"/>
    <xf numFmtId="0" fontId="43" fillId="0" borderId="0" xfId="0" applyFont="1"/>
    <xf numFmtId="37" fontId="49" fillId="0" borderId="0" xfId="0" applyNumberFormat="1" applyFont="1"/>
    <xf numFmtId="10" fontId="43" fillId="0" borderId="0" xfId="0" applyNumberFormat="1" applyFont="1"/>
    <xf numFmtId="10" fontId="49" fillId="0" borderId="0" xfId="0" applyNumberFormat="1" applyFont="1"/>
    <xf numFmtId="167" fontId="0" fillId="0" borderId="0" xfId="3" applyFont="1"/>
    <xf numFmtId="167" fontId="0" fillId="0" borderId="0" xfId="0" applyNumberFormat="1"/>
    <xf numFmtId="168" fontId="0" fillId="0" borderId="0" xfId="3" applyNumberFormat="1" applyFont="1"/>
    <xf numFmtId="0" fontId="36" fillId="0" borderId="0" xfId="0" applyFont="1" applyFill="1"/>
    <xf numFmtId="43" fontId="0" fillId="10" borderId="13" xfId="0" applyNumberFormat="1" applyFill="1" applyBorder="1"/>
    <xf numFmtId="3" fontId="3" fillId="0" borderId="18" xfId="5" applyNumberFormat="1" applyBorder="1"/>
    <xf numFmtId="3" fontId="3" fillId="0" borderId="19" xfId="5" applyNumberFormat="1" applyBorder="1"/>
    <xf numFmtId="168" fontId="50" fillId="0" borderId="0" xfId="3" applyNumberFormat="1" applyFont="1"/>
    <xf numFmtId="167" fontId="50" fillId="0" borderId="0" xfId="3" applyFont="1" applyFill="1"/>
    <xf numFmtId="0" fontId="16" fillId="0" borderId="0" xfId="0" applyFont="1" applyFill="1" applyAlignment="1" applyProtection="1">
      <alignment horizontal="left" vertical="top"/>
      <protection locked="0"/>
    </xf>
    <xf numFmtId="0" fontId="14" fillId="0" borderId="0" xfId="0" applyFont="1" applyFill="1"/>
    <xf numFmtId="168" fontId="18" fillId="0" borderId="0" xfId="3" applyNumberFormat="1" applyFont="1" applyFill="1"/>
    <xf numFmtId="0" fontId="52" fillId="0" borderId="0" xfId="0" applyFont="1"/>
    <xf numFmtId="167" fontId="5" fillId="0" borderId="0" xfId="3" applyFont="1"/>
    <xf numFmtId="167" fontId="53" fillId="0" borderId="0" xfId="3" applyFont="1" applyFill="1" applyBorder="1"/>
    <xf numFmtId="0" fontId="10" fillId="14" borderId="16" xfId="5" applyFont="1" applyFill="1" applyBorder="1"/>
    <xf numFmtId="169" fontId="10" fillId="14" borderId="8" xfId="6" applyNumberFormat="1" applyFont="1" applyFill="1" applyBorder="1" applyAlignment="1">
      <alignment horizontal="center" wrapText="1"/>
    </xf>
    <xf numFmtId="169" fontId="8" fillId="14" borderId="8" xfId="6" applyNumberFormat="1" applyFont="1" applyFill="1" applyBorder="1" applyAlignment="1">
      <alignment horizontal="center" wrapText="1"/>
    </xf>
    <xf numFmtId="169" fontId="8" fillId="14" borderId="8" xfId="6" applyNumberFormat="1" applyFont="1" applyFill="1" applyBorder="1" applyAlignment="1">
      <alignment horizontal="center"/>
    </xf>
    <xf numFmtId="0" fontId="3" fillId="14" borderId="16" xfId="5" applyFill="1" applyBorder="1" applyAlignment="1">
      <alignment wrapText="1"/>
    </xf>
    <xf numFmtId="169" fontId="0" fillId="0" borderId="20" xfId="6" applyNumberFormat="1" applyFont="1" applyFill="1" applyBorder="1"/>
    <xf numFmtId="169" fontId="0" fillId="0" borderId="21" xfId="6" applyNumberFormat="1" applyFont="1" applyFill="1" applyBorder="1"/>
    <xf numFmtId="167" fontId="16" fillId="0" borderId="0" xfId="3" applyFont="1" applyFill="1"/>
    <xf numFmtId="167" fontId="16" fillId="0" borderId="17" xfId="3" applyFont="1" applyFill="1" applyBorder="1"/>
    <xf numFmtId="167" fontId="54" fillId="0" borderId="0" xfId="3" applyFont="1" applyFill="1" applyBorder="1"/>
    <xf numFmtId="167" fontId="54" fillId="0" borderId="17" xfId="3" applyFont="1" applyFill="1" applyBorder="1"/>
    <xf numFmtId="167" fontId="15" fillId="0" borderId="0" xfId="3" applyFont="1" applyFill="1"/>
    <xf numFmtId="167" fontId="16" fillId="0" borderId="0" xfId="3" applyFont="1" applyFill="1" applyBorder="1"/>
    <xf numFmtId="0" fontId="55" fillId="0" borderId="0" xfId="4" applyFont="1"/>
    <xf numFmtId="168" fontId="16" fillId="0" borderId="0" xfId="3" applyNumberFormat="1" applyFont="1"/>
    <xf numFmtId="0" fontId="16" fillId="0" borderId="0" xfId="4" applyFont="1" applyFill="1"/>
    <xf numFmtId="0" fontId="16" fillId="0" borderId="0" xfId="4" applyFont="1"/>
    <xf numFmtId="0" fontId="56" fillId="14" borderId="9" xfId="4" applyFont="1" applyFill="1" applyBorder="1" applyAlignment="1">
      <alignment horizontal="center" vertical="center" wrapText="1"/>
    </xf>
    <xf numFmtId="168" fontId="56" fillId="14" borderId="15" xfId="3" applyNumberFormat="1" applyFont="1" applyFill="1" applyBorder="1" applyAlignment="1">
      <alignment horizontal="center" vertical="center" wrapText="1"/>
    </xf>
    <xf numFmtId="168" fontId="56" fillId="14" borderId="37" xfId="3" applyNumberFormat="1" applyFont="1" applyFill="1" applyBorder="1" applyAlignment="1">
      <alignment horizontal="center" vertical="center" wrapText="1"/>
    </xf>
    <xf numFmtId="168" fontId="16" fillId="0" borderId="0" xfId="3" applyNumberFormat="1" applyFont="1" applyBorder="1"/>
    <xf numFmtId="168" fontId="16" fillId="0" borderId="0" xfId="3" applyNumberFormat="1" applyFont="1" applyFill="1" applyBorder="1"/>
    <xf numFmtId="0" fontId="57" fillId="0" borderId="0" xfId="4" applyFont="1" applyFill="1"/>
    <xf numFmtId="168" fontId="16" fillId="0" borderId="16" xfId="3" applyNumberFormat="1" applyFont="1" applyFill="1" applyBorder="1"/>
    <xf numFmtId="168" fontId="16" fillId="0" borderId="7" xfId="3" applyNumberFormat="1" applyFont="1" applyFill="1" applyBorder="1"/>
    <xf numFmtId="168" fontId="16" fillId="0" borderId="3" xfId="3" applyNumberFormat="1" applyFont="1" applyFill="1" applyBorder="1"/>
    <xf numFmtId="0" fontId="55" fillId="0" borderId="0" xfId="4" applyFont="1" applyFill="1"/>
    <xf numFmtId="168" fontId="16" fillId="0" borderId="18" xfId="3" applyNumberFormat="1" applyFont="1" applyFill="1" applyBorder="1"/>
    <xf numFmtId="168" fontId="16" fillId="0" borderId="17" xfId="3" applyNumberFormat="1" applyFont="1" applyFill="1" applyBorder="1"/>
    <xf numFmtId="168" fontId="16" fillId="0" borderId="20" xfId="3" applyNumberFormat="1" applyFont="1" applyFill="1" applyBorder="1"/>
    <xf numFmtId="43" fontId="16" fillId="0" borderId="0" xfId="4" applyNumberFormat="1" applyFont="1" applyFill="1"/>
    <xf numFmtId="0" fontId="55" fillId="0" borderId="0" xfId="4" applyFont="1" applyFill="1" applyBorder="1"/>
    <xf numFmtId="168" fontId="54" fillId="0" borderId="1" xfId="3" applyNumberFormat="1" applyFont="1" applyFill="1" applyBorder="1"/>
    <xf numFmtId="168" fontId="54" fillId="0" borderId="6" xfId="3" applyNumberFormat="1" applyFont="1" applyFill="1" applyBorder="1"/>
    <xf numFmtId="168" fontId="54" fillId="0" borderId="17" xfId="3" applyNumberFormat="1" applyFont="1" applyFill="1" applyBorder="1"/>
    <xf numFmtId="168" fontId="54" fillId="0" borderId="18" xfId="3" applyNumberFormat="1" applyFont="1" applyFill="1" applyBorder="1"/>
    <xf numFmtId="0" fontId="14" fillId="0" borderId="0" xfId="0" applyFont="1" applyFill="1" applyBorder="1"/>
    <xf numFmtId="168" fontId="16" fillId="0" borderId="1" xfId="3" applyNumberFormat="1" applyFont="1" applyFill="1" applyBorder="1"/>
    <xf numFmtId="168" fontId="16" fillId="0" borderId="5" xfId="3" applyNumberFormat="1" applyFont="1" applyFill="1" applyBorder="1"/>
    <xf numFmtId="168" fontId="16" fillId="0" borderId="4" xfId="3" applyNumberFormat="1" applyFont="1" applyFill="1" applyBorder="1"/>
    <xf numFmtId="0" fontId="55" fillId="0" borderId="0" xfId="0" applyFont="1" applyFill="1"/>
    <xf numFmtId="168" fontId="15" fillId="0" borderId="17" xfId="3" applyNumberFormat="1" applyFont="1" applyFill="1" applyBorder="1"/>
    <xf numFmtId="168" fontId="15" fillId="0" borderId="18" xfId="3" applyNumberFormat="1" applyFont="1" applyFill="1" applyBorder="1"/>
    <xf numFmtId="168" fontId="15" fillId="0" borderId="0" xfId="3" applyNumberFormat="1" applyFont="1" applyFill="1" applyBorder="1"/>
    <xf numFmtId="0" fontId="15" fillId="0" borderId="0" xfId="0" applyFont="1"/>
    <xf numFmtId="168" fontId="15" fillId="0" borderId="0" xfId="3" applyNumberFormat="1" applyFont="1"/>
    <xf numFmtId="0" fontId="15" fillId="0" borderId="0" xfId="0" applyFont="1" applyFill="1"/>
    <xf numFmtId="0" fontId="14" fillId="0" borderId="17" xfId="0" applyFont="1" applyFill="1" applyBorder="1"/>
    <xf numFmtId="0" fontId="17" fillId="0" borderId="17" xfId="0" applyFont="1" applyFill="1" applyBorder="1"/>
    <xf numFmtId="0" fontId="17" fillId="0" borderId="17" xfId="0" applyFont="1" applyFill="1" applyBorder="1" applyAlignment="1">
      <alignment wrapText="1"/>
    </xf>
    <xf numFmtId="0" fontId="17" fillId="0" borderId="18" xfId="0" applyFont="1" applyFill="1" applyBorder="1" applyAlignment="1">
      <alignment wrapText="1"/>
    </xf>
    <xf numFmtId="168" fontId="54" fillId="0" borderId="0" xfId="3" applyNumberFormat="1" applyFont="1" applyFill="1" applyBorder="1"/>
    <xf numFmtId="168" fontId="54" fillId="0" borderId="20" xfId="3" applyNumberFormat="1" applyFont="1" applyFill="1" applyBorder="1"/>
    <xf numFmtId="168" fontId="16" fillId="0" borderId="44" xfId="3" applyNumberFormat="1" applyFont="1" applyFill="1" applyBorder="1"/>
    <xf numFmtId="168" fontId="16" fillId="0" borderId="33" xfId="3" applyNumberFormat="1" applyFont="1" applyFill="1" applyBorder="1"/>
    <xf numFmtId="168" fontId="16" fillId="0" borderId="19" xfId="3" applyNumberFormat="1" applyFont="1" applyFill="1" applyBorder="1"/>
    <xf numFmtId="168" fontId="16" fillId="0" borderId="48" xfId="3" applyNumberFormat="1" applyFont="1" applyFill="1" applyBorder="1"/>
    <xf numFmtId="168" fontId="54" fillId="0" borderId="22" xfId="3" applyNumberFormat="1" applyFont="1" applyFill="1" applyBorder="1"/>
    <xf numFmtId="168" fontId="54" fillId="0" borderId="9" xfId="3" applyNumberFormat="1" applyFont="1" applyFill="1" applyBorder="1"/>
    <xf numFmtId="168" fontId="54" fillId="0" borderId="15" xfId="3" applyNumberFormat="1" applyFont="1" applyFill="1" applyBorder="1"/>
    <xf numFmtId="168" fontId="54" fillId="0" borderId="49" xfId="3" applyNumberFormat="1" applyFont="1" applyFill="1" applyBorder="1"/>
    <xf numFmtId="168" fontId="16" fillId="0" borderId="49" xfId="3" applyNumberFormat="1" applyFont="1" applyFill="1" applyBorder="1"/>
    <xf numFmtId="168" fontId="58" fillId="0" borderId="18" xfId="3" applyNumberFormat="1" applyFont="1" applyFill="1" applyBorder="1"/>
    <xf numFmtId="168" fontId="58" fillId="0" borderId="17" xfId="3" applyNumberFormat="1" applyFont="1" applyFill="1" applyBorder="1"/>
    <xf numFmtId="168" fontId="54" fillId="8" borderId="1" xfId="3" applyNumberFormat="1" applyFont="1" applyFill="1" applyBorder="1"/>
    <xf numFmtId="168" fontId="54" fillId="8" borderId="5" xfId="3" applyNumberFormat="1" applyFont="1" applyFill="1" applyBorder="1"/>
    <xf numFmtId="168" fontId="58" fillId="0" borderId="16" xfId="3" applyNumberFormat="1" applyFont="1" applyFill="1" applyBorder="1"/>
    <xf numFmtId="168" fontId="58" fillId="0" borderId="7" xfId="3" applyNumberFormat="1" applyFont="1" applyFill="1" applyBorder="1"/>
    <xf numFmtId="168" fontId="16" fillId="0" borderId="14" xfId="3" applyNumberFormat="1" applyFont="1" applyFill="1" applyBorder="1"/>
    <xf numFmtId="3" fontId="16" fillId="0" borderId="18" xfId="3" applyNumberFormat="1" applyFont="1" applyFill="1" applyBorder="1"/>
    <xf numFmtId="168" fontId="16" fillId="0" borderId="12" xfId="3" applyNumberFormat="1" applyFont="1" applyFill="1" applyBorder="1"/>
    <xf numFmtId="168" fontId="16" fillId="0" borderId="21" xfId="3" applyNumberFormat="1" applyFont="1" applyFill="1" applyBorder="1"/>
    <xf numFmtId="168" fontId="54" fillId="0" borderId="19" xfId="3" applyNumberFormat="1" applyFont="1" applyFill="1" applyBorder="1"/>
    <xf numFmtId="168" fontId="59" fillId="0" borderId="15" xfId="3" applyNumberFormat="1" applyFont="1" applyFill="1" applyBorder="1"/>
    <xf numFmtId="168" fontId="16" fillId="0" borderId="0" xfId="3" applyNumberFormat="1" applyFont="1" applyFill="1"/>
    <xf numFmtId="0" fontId="55" fillId="0" borderId="0" xfId="4" applyFont="1" applyBorder="1"/>
    <xf numFmtId="0" fontId="16" fillId="0" borderId="0" xfId="4" applyFont="1" applyFill="1" applyBorder="1"/>
    <xf numFmtId="0" fontId="16" fillId="0" borderId="0" xfId="4" applyFont="1" applyBorder="1"/>
    <xf numFmtId="10" fontId="16" fillId="0" borderId="0" xfId="3" applyNumberFormat="1" applyFont="1" applyBorder="1"/>
    <xf numFmtId="0" fontId="61" fillId="17" borderId="0" xfId="0" applyFont="1" applyFill="1"/>
    <xf numFmtId="0" fontId="15" fillId="17" borderId="7" xfId="0" applyFont="1" applyFill="1" applyBorder="1"/>
    <xf numFmtId="0" fontId="47" fillId="17" borderId="3" xfId="0" applyFont="1" applyFill="1" applyBorder="1"/>
    <xf numFmtId="0" fontId="47" fillId="17" borderId="3" xfId="0" applyFont="1" applyFill="1" applyBorder="1" applyAlignment="1">
      <alignment wrapText="1"/>
    </xf>
    <xf numFmtId="168" fontId="15" fillId="17" borderId="3" xfId="3" applyNumberFormat="1" applyFont="1" applyFill="1" applyBorder="1"/>
    <xf numFmtId="168" fontId="15" fillId="17" borderId="8" xfId="3" applyNumberFormat="1" applyFont="1" applyFill="1" applyBorder="1"/>
    <xf numFmtId="0" fontId="50" fillId="0" borderId="0" xfId="0" applyFont="1" applyFill="1"/>
    <xf numFmtId="0" fontId="50" fillId="0" borderId="0" xfId="0" applyFont="1"/>
    <xf numFmtId="0" fontId="14" fillId="17" borderId="0" xfId="0" applyFont="1" applyFill="1"/>
    <xf numFmtId="0" fontId="15" fillId="17" borderId="17" xfId="0" applyFont="1" applyFill="1" applyBorder="1"/>
    <xf numFmtId="0" fontId="47" fillId="17" borderId="0" xfId="0" applyFont="1" applyFill="1" applyBorder="1"/>
    <xf numFmtId="0" fontId="47" fillId="17" borderId="0" xfId="0" applyFont="1" applyFill="1" applyBorder="1" applyAlignment="1">
      <alignment wrapText="1"/>
    </xf>
    <xf numFmtId="168" fontId="15" fillId="17" borderId="0" xfId="3" applyNumberFormat="1" applyFont="1" applyFill="1" applyBorder="1"/>
    <xf numFmtId="168" fontId="15" fillId="17" borderId="20" xfId="3" applyNumberFormat="1" applyFont="1" applyFill="1" applyBorder="1"/>
    <xf numFmtId="0" fontId="15" fillId="17" borderId="0" xfId="0" applyFont="1" applyFill="1"/>
    <xf numFmtId="0" fontId="17" fillId="17" borderId="14" xfId="0" applyFont="1" applyFill="1" applyBorder="1"/>
    <xf numFmtId="0" fontId="17" fillId="17" borderId="12" xfId="0" applyFont="1" applyFill="1" applyBorder="1"/>
    <xf numFmtId="0" fontId="17" fillId="17" borderId="12" xfId="0" applyFont="1" applyFill="1" applyBorder="1" applyAlignment="1">
      <alignment wrapText="1"/>
    </xf>
    <xf numFmtId="168" fontId="15" fillId="17" borderId="12" xfId="3" applyNumberFormat="1" applyFont="1" applyFill="1" applyBorder="1"/>
    <xf numFmtId="168" fontId="15" fillId="17" borderId="21" xfId="3" applyNumberFormat="1" applyFont="1" applyFill="1" applyBorder="1"/>
    <xf numFmtId="0" fontId="62" fillId="17" borderId="8" xfId="0" applyFont="1" applyFill="1" applyBorder="1" applyAlignment="1">
      <alignment horizontal="center"/>
    </xf>
    <xf numFmtId="0" fontId="62" fillId="17" borderId="8" xfId="0" applyFont="1" applyFill="1" applyBorder="1" applyAlignment="1">
      <alignment horizontal="center" wrapText="1"/>
    </xf>
    <xf numFmtId="168" fontId="15" fillId="17" borderId="8" xfId="3" applyNumberFormat="1" applyFont="1" applyFill="1" applyBorder="1" applyAlignment="1">
      <alignment horizontal="center"/>
    </xf>
    <xf numFmtId="0" fontId="19" fillId="17" borderId="14" xfId="0" applyFont="1" applyFill="1" applyBorder="1" applyAlignment="1">
      <alignment horizontal="center"/>
    </xf>
    <xf numFmtId="0" fontId="17" fillId="3" borderId="14" xfId="0" applyFont="1" applyFill="1" applyBorder="1"/>
    <xf numFmtId="0" fontId="15" fillId="14" borderId="9" xfId="0" applyFont="1" applyFill="1" applyBorder="1"/>
    <xf numFmtId="0" fontId="47" fillId="14" borderId="35" xfId="0" applyFont="1" applyFill="1" applyBorder="1"/>
    <xf numFmtId="0" fontId="47" fillId="14" borderId="35" xfId="0" applyFont="1" applyFill="1" applyBorder="1" applyAlignment="1">
      <alignment wrapText="1"/>
    </xf>
    <xf numFmtId="0" fontId="47" fillId="14" borderId="15" xfId="0" applyFont="1" applyFill="1" applyBorder="1" applyAlignment="1">
      <alignment wrapText="1"/>
    </xf>
    <xf numFmtId="168" fontId="56" fillId="14" borderId="35" xfId="3" applyNumberFormat="1" applyFont="1" applyFill="1" applyBorder="1" applyAlignment="1">
      <alignment horizontal="center" vertical="center" wrapText="1"/>
    </xf>
    <xf numFmtId="0" fontId="17" fillId="0" borderId="7" xfId="0" applyFont="1" applyBorder="1"/>
    <xf numFmtId="0" fontId="57" fillId="0" borderId="0" xfId="4" applyFont="1"/>
    <xf numFmtId="0" fontId="47" fillId="0" borderId="17" xfId="0" applyFont="1" applyBorder="1"/>
    <xf numFmtId="0" fontId="47" fillId="0" borderId="17" xfId="0" applyFont="1" applyBorder="1" applyAlignment="1">
      <alignment wrapText="1"/>
    </xf>
    <xf numFmtId="0" fontId="47" fillId="0" borderId="18" xfId="0" applyFont="1" applyBorder="1" applyAlignment="1">
      <alignment wrapText="1"/>
    </xf>
    <xf numFmtId="168" fontId="15" fillId="0" borderId="42" xfId="3" applyNumberFormat="1" applyFont="1" applyBorder="1"/>
    <xf numFmtId="168" fontId="15" fillId="0" borderId="20" xfId="3" applyNumberFormat="1" applyFont="1" applyBorder="1"/>
    <xf numFmtId="168" fontId="15" fillId="0" borderId="0" xfId="3" applyNumberFormat="1" applyFont="1" applyBorder="1"/>
    <xf numFmtId="168" fontId="15" fillId="0" borderId="18" xfId="3" applyNumberFormat="1" applyFont="1" applyBorder="1"/>
    <xf numFmtId="0" fontId="17" fillId="0" borderId="17" xfId="0" applyFont="1" applyBorder="1"/>
    <xf numFmtId="0" fontId="14" fillId="0" borderId="17" xfId="0" applyFont="1" applyBorder="1"/>
    <xf numFmtId="0" fontId="14" fillId="0" borderId="0" xfId="0" applyFont="1" applyBorder="1"/>
    <xf numFmtId="0" fontId="17" fillId="0" borderId="17" xfId="0" applyFont="1" applyBorder="1" applyAlignment="1">
      <alignment wrapText="1"/>
    </xf>
    <xf numFmtId="0" fontId="17" fillId="0" borderId="18" xfId="0" applyFont="1" applyBorder="1" applyAlignment="1">
      <alignment wrapText="1"/>
    </xf>
    <xf numFmtId="0" fontId="15" fillId="0" borderId="17" xfId="0" applyFont="1" applyBorder="1"/>
    <xf numFmtId="0" fontId="15" fillId="0" borderId="0" xfId="0" applyFont="1" applyBorder="1"/>
    <xf numFmtId="0" fontId="54" fillId="0" borderId="17" xfId="4" applyFont="1" applyBorder="1"/>
    <xf numFmtId="0" fontId="54" fillId="0" borderId="17" xfId="4" applyFont="1" applyBorder="1" applyAlignment="1">
      <alignment wrapText="1"/>
    </xf>
    <xf numFmtId="0" fontId="54" fillId="0" borderId="18" xfId="4" applyFont="1" applyBorder="1" applyAlignment="1">
      <alignment wrapText="1"/>
    </xf>
    <xf numFmtId="0" fontId="14" fillId="0" borderId="14" xfId="0" applyFont="1" applyFill="1" applyBorder="1"/>
    <xf numFmtId="168" fontId="15" fillId="0" borderId="20" xfId="3" applyNumberFormat="1" applyFont="1" applyFill="1" applyBorder="1"/>
    <xf numFmtId="168" fontId="15" fillId="0" borderId="21" xfId="3" applyNumberFormat="1" applyFont="1" applyFill="1" applyBorder="1"/>
    <xf numFmtId="168" fontId="47" fillId="0" borderId="17" xfId="3" applyNumberFormat="1" applyFont="1" applyFill="1" applyBorder="1"/>
    <xf numFmtId="0" fontId="17" fillId="0" borderId="5" xfId="0" applyFont="1" applyBorder="1"/>
    <xf numFmtId="0" fontId="17" fillId="0" borderId="5" xfId="0" applyFont="1" applyBorder="1" applyAlignment="1">
      <alignment wrapText="1"/>
    </xf>
    <xf numFmtId="0" fontId="17" fillId="0" borderId="1" xfId="0" applyFont="1" applyBorder="1" applyAlignment="1">
      <alignment wrapText="1"/>
    </xf>
    <xf numFmtId="168" fontId="47" fillId="0" borderId="1" xfId="3" applyNumberFormat="1" applyFont="1" applyBorder="1"/>
    <xf numFmtId="168" fontId="47" fillId="0" borderId="4" xfId="3" applyNumberFormat="1" applyFont="1" applyBorder="1"/>
    <xf numFmtId="168" fontId="47" fillId="0" borderId="4" xfId="3" applyNumberFormat="1" applyFont="1" applyFill="1" applyBorder="1"/>
    <xf numFmtId="0" fontId="17" fillId="0" borderId="0" xfId="0" applyFont="1" applyAlignment="1">
      <alignment wrapText="1"/>
    </xf>
    <xf numFmtId="168" fontId="47" fillId="0" borderId="0" xfId="3" applyNumberFormat="1" applyFont="1" applyFill="1" applyBorder="1"/>
    <xf numFmtId="168" fontId="15" fillId="0" borderId="0" xfId="3" applyNumberFormat="1" applyFont="1" applyFill="1"/>
    <xf numFmtId="0" fontId="17" fillId="0" borderId="7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168" fontId="15" fillId="0" borderId="8" xfId="3" applyNumberFormat="1" applyFont="1" applyBorder="1"/>
    <xf numFmtId="168" fontId="15" fillId="0" borderId="3" xfId="3" applyNumberFormat="1" applyFont="1" applyBorder="1"/>
    <xf numFmtId="168" fontId="15" fillId="0" borderId="16" xfId="3" applyNumberFormat="1" applyFont="1" applyBorder="1"/>
    <xf numFmtId="168" fontId="15" fillId="0" borderId="3" xfId="3" applyNumberFormat="1" applyFont="1" applyFill="1" applyBorder="1"/>
    <xf numFmtId="168" fontId="15" fillId="0" borderId="7" xfId="3" applyNumberFormat="1" applyFont="1" applyFill="1" applyBorder="1"/>
    <xf numFmtId="168" fontId="15" fillId="0" borderId="16" xfId="3" applyNumberFormat="1" applyFont="1" applyFill="1" applyBorder="1"/>
    <xf numFmtId="168" fontId="15" fillId="0" borderId="21" xfId="3" applyNumberFormat="1" applyFont="1" applyBorder="1"/>
    <xf numFmtId="168" fontId="15" fillId="0" borderId="12" xfId="3" applyNumberFormat="1" applyFont="1" applyBorder="1"/>
    <xf numFmtId="168" fontId="15" fillId="0" borderId="19" xfId="3" applyNumberFormat="1" applyFont="1" applyBorder="1"/>
    <xf numFmtId="168" fontId="15" fillId="0" borderId="19" xfId="3" applyNumberFormat="1" applyFont="1" applyFill="1" applyBorder="1"/>
    <xf numFmtId="168" fontId="47" fillId="0" borderId="5" xfId="3" applyNumberFormat="1" applyFont="1" applyFill="1" applyBorder="1"/>
    <xf numFmtId="0" fontId="17" fillId="0" borderId="2" xfId="0" applyFont="1" applyBorder="1"/>
    <xf numFmtId="0" fontId="17" fillId="0" borderId="2" xfId="0" applyFont="1" applyBorder="1" applyAlignment="1">
      <alignment wrapText="1"/>
    </xf>
    <xf numFmtId="0" fontId="17" fillId="0" borderId="23" xfId="0" applyFont="1" applyBorder="1" applyAlignment="1">
      <alignment wrapText="1"/>
    </xf>
    <xf numFmtId="168" fontId="47" fillId="0" borderId="2" xfId="3" applyNumberFormat="1" applyFont="1" applyBorder="1"/>
    <xf numFmtId="168" fontId="47" fillId="0" borderId="2" xfId="3" applyNumberFormat="1" applyFont="1" applyFill="1" applyBorder="1"/>
    <xf numFmtId="168" fontId="47" fillId="0" borderId="23" xfId="3" applyNumberFormat="1" applyFont="1" applyFill="1" applyBorder="1"/>
    <xf numFmtId="168" fontId="50" fillId="0" borderId="0" xfId="0" applyNumberFormat="1" applyFont="1" applyFill="1"/>
    <xf numFmtId="165" fontId="50" fillId="0" borderId="0" xfId="0" applyNumberFormat="1" applyFont="1" applyFill="1"/>
    <xf numFmtId="168" fontId="15" fillId="0" borderId="12" xfId="3" applyNumberFormat="1" applyFont="1" applyFill="1" applyBorder="1"/>
    <xf numFmtId="168" fontId="15" fillId="0" borderId="8" xfId="3" applyNumberFormat="1" applyFont="1" applyFill="1" applyBorder="1"/>
    <xf numFmtId="0" fontId="14" fillId="9" borderId="0" xfId="0" applyFont="1" applyFill="1"/>
    <xf numFmtId="0" fontId="17" fillId="9" borderId="17" xfId="0" applyFont="1" applyFill="1" applyBorder="1"/>
    <xf numFmtId="0" fontId="17" fillId="9" borderId="17" xfId="0" applyFont="1" applyFill="1" applyBorder="1" applyAlignment="1">
      <alignment wrapText="1"/>
    </xf>
    <xf numFmtId="0" fontId="17" fillId="9" borderId="18" xfId="0" applyFont="1" applyFill="1" applyBorder="1" applyAlignment="1">
      <alignment wrapText="1"/>
    </xf>
    <xf numFmtId="0" fontId="17" fillId="0" borderId="14" xfId="0" applyFont="1" applyFill="1" applyBorder="1"/>
    <xf numFmtId="0" fontId="17" fillId="0" borderId="14" xfId="0" applyFont="1" applyFill="1" applyBorder="1" applyAlignment="1">
      <alignment wrapText="1"/>
    </xf>
    <xf numFmtId="0" fontId="17" fillId="0" borderId="19" xfId="0" applyFont="1" applyFill="1" applyBorder="1" applyAlignment="1">
      <alignment wrapText="1"/>
    </xf>
    <xf numFmtId="168" fontId="14" fillId="0" borderId="14" xfId="3" applyNumberFormat="1" applyFont="1" applyBorder="1" applyAlignment="1">
      <alignment horizontal="right"/>
    </xf>
    <xf numFmtId="168" fontId="17" fillId="0" borderId="14" xfId="3" applyNumberFormat="1" applyFont="1" applyFill="1" applyBorder="1" applyAlignment="1">
      <alignment horizontal="right"/>
    </xf>
    <xf numFmtId="168" fontId="14" fillId="0" borderId="14" xfId="3" applyNumberFormat="1" applyFont="1" applyFill="1" applyBorder="1" applyAlignment="1">
      <alignment horizontal="right"/>
    </xf>
    <xf numFmtId="168" fontId="47" fillId="0" borderId="16" xfId="3" applyNumberFormat="1" applyFont="1" applyFill="1" applyBorder="1"/>
    <xf numFmtId="0" fontId="47" fillId="0" borderId="16" xfId="0" applyFont="1" applyBorder="1"/>
    <xf numFmtId="0" fontId="47" fillId="0" borderId="7" xfId="0" applyFont="1" applyBorder="1" applyAlignment="1">
      <alignment wrapText="1"/>
    </xf>
    <xf numFmtId="0" fontId="47" fillId="0" borderId="16" xfId="0" applyFont="1" applyBorder="1" applyAlignment="1">
      <alignment wrapText="1"/>
    </xf>
    <xf numFmtId="0" fontId="47" fillId="0" borderId="18" xfId="0" applyFont="1" applyBorder="1"/>
    <xf numFmtId="0" fontId="17" fillId="0" borderId="18" xfId="0" applyFont="1" applyBorder="1"/>
    <xf numFmtId="0" fontId="17" fillId="0" borderId="18" xfId="0" applyFont="1" applyFill="1" applyBorder="1"/>
    <xf numFmtId="0" fontId="17" fillId="0" borderId="20" xfId="0" applyFont="1" applyBorder="1" applyAlignment="1">
      <alignment wrapText="1"/>
    </xf>
    <xf numFmtId="0" fontId="47" fillId="0" borderId="0" xfId="0" applyFont="1" applyBorder="1"/>
    <xf numFmtId="0" fontId="47" fillId="0" borderId="0" xfId="0" applyFont="1" applyBorder="1" applyAlignment="1">
      <alignment wrapText="1"/>
    </xf>
    <xf numFmtId="168" fontId="17" fillId="0" borderId="22" xfId="3" applyNumberFormat="1" applyFont="1" applyBorder="1" applyAlignment="1">
      <alignment horizontal="right"/>
    </xf>
    <xf numFmtId="168" fontId="17" fillId="0" borderId="43" xfId="3" applyNumberFormat="1" applyFont="1" applyBorder="1" applyAlignment="1">
      <alignment horizontal="right"/>
    </xf>
    <xf numFmtId="168" fontId="17" fillId="0" borderId="43" xfId="3" applyNumberFormat="1" applyFont="1" applyFill="1" applyBorder="1" applyAlignment="1">
      <alignment horizontal="right"/>
    </xf>
    <xf numFmtId="168" fontId="17" fillId="0" borderId="11" xfId="3" applyNumberFormat="1" applyFont="1" applyFill="1" applyBorder="1" applyAlignment="1">
      <alignment horizontal="right"/>
    </xf>
    <xf numFmtId="0" fontId="47" fillId="0" borderId="20" xfId="0" applyFont="1" applyBorder="1" applyAlignment="1">
      <alignment wrapText="1"/>
    </xf>
    <xf numFmtId="0" fontId="19" fillId="0" borderId="17" xfId="0" applyFont="1" applyBorder="1"/>
    <xf numFmtId="0" fontId="47" fillId="0" borderId="19" xfId="0" applyFont="1" applyBorder="1"/>
    <xf numFmtId="0" fontId="47" fillId="0" borderId="21" xfId="0" applyFont="1" applyBorder="1" applyAlignment="1">
      <alignment wrapText="1"/>
    </xf>
    <xf numFmtId="0" fontId="15" fillId="0" borderId="14" xfId="0" applyFont="1" applyBorder="1"/>
    <xf numFmtId="0" fontId="47" fillId="0" borderId="12" xfId="0" applyFont="1" applyBorder="1"/>
    <xf numFmtId="0" fontId="47" fillId="0" borderId="12" xfId="0" applyFont="1" applyBorder="1" applyAlignment="1">
      <alignment wrapText="1"/>
    </xf>
    <xf numFmtId="168" fontId="47" fillId="8" borderId="12" xfId="3" applyNumberFormat="1" applyFont="1" applyFill="1" applyBorder="1"/>
    <xf numFmtId="168" fontId="47" fillId="8" borderId="1" xfId="3" applyNumberFormat="1" applyFont="1" applyFill="1" applyBorder="1"/>
    <xf numFmtId="0" fontId="47" fillId="0" borderId="0" xfId="0" applyFont="1"/>
    <xf numFmtId="0" fontId="47" fillId="0" borderId="0" xfId="0" applyFont="1" applyAlignment="1">
      <alignment wrapText="1"/>
    </xf>
    <xf numFmtId="168" fontId="15" fillId="0" borderId="0" xfId="0" applyNumberFormat="1" applyFont="1" applyFill="1"/>
    <xf numFmtId="165" fontId="15" fillId="0" borderId="0" xfId="0" applyNumberFormat="1" applyFont="1" applyFill="1"/>
    <xf numFmtId="0" fontId="15" fillId="0" borderId="0" xfId="0" applyFont="1" applyFill="1" applyBorder="1"/>
    <xf numFmtId="0" fontId="61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9" fillId="2" borderId="0" xfId="0" applyFont="1" applyFill="1"/>
    <xf numFmtId="0" fontId="17" fillId="2" borderId="1" xfId="0" applyFont="1" applyFill="1" applyBorder="1"/>
    <xf numFmtId="0" fontId="15" fillId="14" borderId="14" xfId="0" applyFont="1" applyFill="1" applyBorder="1"/>
    <xf numFmtId="0" fontId="47" fillId="14" borderId="41" xfId="0" applyFont="1" applyFill="1" applyBorder="1"/>
    <xf numFmtId="0" fontId="47" fillId="14" borderId="37" xfId="0" applyFont="1" applyFill="1" applyBorder="1" applyAlignment="1">
      <alignment wrapText="1"/>
    </xf>
    <xf numFmtId="168" fontId="56" fillId="14" borderId="30" xfId="3" applyNumberFormat="1" applyFont="1" applyFill="1" applyBorder="1" applyAlignment="1">
      <alignment horizontal="center" vertical="center" wrapText="1"/>
    </xf>
    <xf numFmtId="168" fontId="56" fillId="14" borderId="44" xfId="3" applyNumberFormat="1" applyFont="1" applyFill="1" applyBorder="1" applyAlignment="1">
      <alignment horizontal="center" vertical="center" wrapText="1"/>
    </xf>
    <xf numFmtId="168" fontId="15" fillId="10" borderId="20" xfId="3" applyNumberFormat="1" applyFont="1" applyFill="1" applyBorder="1"/>
    <xf numFmtId="168" fontId="15" fillId="10" borderId="18" xfId="3" applyNumberFormat="1" applyFont="1" applyFill="1" applyBorder="1"/>
    <xf numFmtId="168" fontId="15" fillId="0" borderId="0" xfId="0" applyNumberFormat="1" applyFont="1"/>
    <xf numFmtId="0" fontId="47" fillId="0" borderId="5" xfId="0" applyFont="1" applyBorder="1"/>
    <xf numFmtId="0" fontId="47" fillId="0" borderId="1" xfId="0" applyFont="1" applyBorder="1"/>
    <xf numFmtId="168" fontId="47" fillId="0" borderId="6" xfId="3" applyNumberFormat="1" applyFont="1" applyBorder="1"/>
    <xf numFmtId="168" fontId="47" fillId="0" borderId="1" xfId="3" applyNumberFormat="1" applyFont="1" applyFill="1" applyBorder="1"/>
    <xf numFmtId="0" fontId="47" fillId="0" borderId="4" xfId="0" applyFont="1" applyBorder="1"/>
    <xf numFmtId="168" fontId="47" fillId="0" borderId="0" xfId="3" applyNumberFormat="1" applyFont="1" applyBorder="1"/>
    <xf numFmtId="168" fontId="15" fillId="0" borderId="1" xfId="3" applyNumberFormat="1" applyFont="1" applyBorder="1"/>
    <xf numFmtId="168" fontId="47" fillId="0" borderId="0" xfId="3" applyNumberFormat="1" applyFont="1" applyFill="1"/>
    <xf numFmtId="0" fontId="17" fillId="0" borderId="16" xfId="0" applyFont="1" applyBorder="1"/>
    <xf numFmtId="0" fontId="17" fillId="9" borderId="14" xfId="0" applyFont="1" applyFill="1" applyBorder="1"/>
    <xf numFmtId="0" fontId="17" fillId="9" borderId="19" xfId="0" applyFont="1" applyFill="1" applyBorder="1"/>
    <xf numFmtId="168" fontId="15" fillId="9" borderId="19" xfId="3" applyNumberFormat="1" applyFont="1" applyFill="1" applyBorder="1"/>
    <xf numFmtId="168" fontId="15" fillId="9" borderId="21" xfId="3" applyNumberFormat="1" applyFont="1" applyFill="1" applyBorder="1"/>
    <xf numFmtId="168" fontId="47" fillId="0" borderId="36" xfId="3" applyNumberFormat="1" applyFont="1" applyBorder="1"/>
    <xf numFmtId="165" fontId="15" fillId="0" borderId="0" xfId="0" applyNumberFormat="1" applyFont="1"/>
    <xf numFmtId="0" fontId="54" fillId="0" borderId="7" xfId="0" applyFont="1" applyBorder="1" applyAlignment="1" applyProtection="1">
      <alignment horizontal="left" vertical="top"/>
      <protection locked="0"/>
    </xf>
    <xf numFmtId="0" fontId="54" fillId="0" borderId="16" xfId="0" applyFont="1" applyBorder="1" applyAlignment="1" applyProtection="1">
      <alignment horizontal="left" vertical="top"/>
      <protection locked="0"/>
    </xf>
    <xf numFmtId="0" fontId="54" fillId="0" borderId="17" xfId="0" applyFont="1" applyBorder="1" applyAlignment="1" applyProtection="1">
      <alignment horizontal="left" vertical="top"/>
      <protection locked="0"/>
    </xf>
    <xf numFmtId="0" fontId="54" fillId="0" borderId="18" xfId="0" applyFont="1" applyBorder="1" applyAlignment="1" applyProtection="1">
      <alignment horizontal="left" vertical="top"/>
      <protection locked="0"/>
    </xf>
    <xf numFmtId="0" fontId="54" fillId="0" borderId="14" xfId="0" applyFont="1" applyBorder="1" applyAlignment="1" applyProtection="1">
      <alignment horizontal="left" vertical="top"/>
      <protection locked="0"/>
    </xf>
    <xf numFmtId="0" fontId="54" fillId="0" borderId="19" xfId="0" applyFont="1" applyBorder="1" applyAlignment="1" applyProtection="1">
      <alignment horizontal="left" vertical="top"/>
      <protection locked="0"/>
    </xf>
    <xf numFmtId="168" fontId="47" fillId="0" borderId="8" xfId="3" applyNumberFormat="1" applyFont="1" applyFill="1" applyBorder="1"/>
    <xf numFmtId="0" fontId="47" fillId="0" borderId="14" xfId="0" applyFont="1" applyBorder="1"/>
    <xf numFmtId="168" fontId="47" fillId="0" borderId="5" xfId="3" applyNumberFormat="1" applyFont="1" applyBorder="1"/>
    <xf numFmtId="168" fontId="15" fillId="0" borderId="7" xfId="3" applyNumberFormat="1" applyFont="1" applyBorder="1"/>
    <xf numFmtId="0" fontId="47" fillId="0" borderId="3" xfId="0" applyFont="1" applyBorder="1"/>
    <xf numFmtId="0" fontId="47" fillId="0" borderId="7" xfId="0" applyFont="1" applyBorder="1"/>
    <xf numFmtId="0" fontId="17" fillId="0" borderId="7" xfId="0" applyFont="1" applyFill="1" applyBorder="1"/>
    <xf numFmtId="0" fontId="17" fillId="0" borderId="7" xfId="0" applyFont="1" applyFill="1" applyBorder="1" applyAlignment="1">
      <alignment wrapText="1"/>
    </xf>
    <xf numFmtId="37" fontId="15" fillId="0" borderId="0" xfId="0" applyNumberFormat="1" applyFont="1" applyFill="1"/>
    <xf numFmtId="0" fontId="47" fillId="0" borderId="17" xfId="0" applyFont="1" applyFill="1" applyBorder="1"/>
    <xf numFmtId="0" fontId="17" fillId="0" borderId="0" xfId="0" applyFont="1" applyFill="1"/>
    <xf numFmtId="0" fontId="47" fillId="0" borderId="1" xfId="0" applyFont="1" applyFill="1" applyBorder="1"/>
    <xf numFmtId="0" fontId="47" fillId="0" borderId="5" xfId="0" applyFont="1" applyFill="1" applyBorder="1"/>
    <xf numFmtId="0" fontId="47" fillId="0" borderId="6" xfId="0" applyFont="1" applyFill="1" applyBorder="1"/>
    <xf numFmtId="0" fontId="19" fillId="0" borderId="0" xfId="0" applyFont="1"/>
    <xf numFmtId="0" fontId="47" fillId="0" borderId="33" xfId="0" applyFont="1" applyBorder="1"/>
    <xf numFmtId="168" fontId="47" fillId="8" borderId="10" xfId="3" applyNumberFormat="1" applyFont="1" applyFill="1" applyBorder="1"/>
    <xf numFmtId="0" fontId="47" fillId="2" borderId="0" xfId="0" applyFont="1" applyFill="1"/>
    <xf numFmtId="0" fontId="47" fillId="2" borderId="0" xfId="0" applyFont="1" applyFill="1" applyAlignment="1">
      <alignment wrapText="1"/>
    </xf>
    <xf numFmtId="0" fontId="17" fillId="2" borderId="0" xfId="0" applyFont="1" applyFill="1"/>
    <xf numFmtId="0" fontId="17" fillId="2" borderId="0" xfId="0" applyFont="1" applyFill="1" applyAlignment="1">
      <alignment wrapText="1"/>
    </xf>
    <xf numFmtId="0" fontId="17" fillId="2" borderId="5" xfId="0" applyFont="1" applyFill="1" applyBorder="1"/>
    <xf numFmtId="0" fontId="15" fillId="14" borderId="5" xfId="0" applyFont="1" applyFill="1" applyBorder="1"/>
    <xf numFmtId="0" fontId="47" fillId="14" borderId="29" xfId="0" applyFont="1" applyFill="1" applyBorder="1"/>
    <xf numFmtId="0" fontId="47" fillId="14" borderId="39" xfId="0" applyFont="1" applyFill="1" applyBorder="1" applyAlignment="1">
      <alignment wrapText="1"/>
    </xf>
    <xf numFmtId="168" fontId="47" fillId="0" borderId="20" xfId="3" applyNumberFormat="1" applyFont="1" applyFill="1" applyBorder="1"/>
    <xf numFmtId="0" fontId="17" fillId="0" borderId="0" xfId="0" applyFont="1" applyBorder="1"/>
    <xf numFmtId="0" fontId="14" fillId="5" borderId="0" xfId="0" applyFont="1" applyFill="1"/>
    <xf numFmtId="0" fontId="16" fillId="9" borderId="0" xfId="4" applyFont="1" applyFill="1"/>
    <xf numFmtId="0" fontId="54" fillId="9" borderId="17" xfId="4" applyFont="1" applyFill="1" applyBorder="1"/>
    <xf numFmtId="0" fontId="54" fillId="9" borderId="18" xfId="4" applyFont="1" applyFill="1" applyBorder="1" applyAlignment="1">
      <alignment wrapText="1"/>
    </xf>
    <xf numFmtId="0" fontId="54" fillId="9" borderId="0" xfId="4" applyFont="1" applyFill="1" applyBorder="1"/>
    <xf numFmtId="168" fontId="15" fillId="9" borderId="18" xfId="3" applyNumberFormat="1" applyFont="1" applyFill="1" applyBorder="1"/>
    <xf numFmtId="168" fontId="15" fillId="9" borderId="20" xfId="3" applyNumberFormat="1" applyFont="1" applyFill="1" applyBorder="1"/>
    <xf numFmtId="0" fontId="17" fillId="9" borderId="19" xfId="0" applyFont="1" applyFill="1" applyBorder="1" applyAlignment="1">
      <alignment wrapText="1"/>
    </xf>
    <xf numFmtId="0" fontId="17" fillId="9" borderId="12" xfId="0" applyFont="1" applyFill="1" applyBorder="1"/>
    <xf numFmtId="168" fontId="17" fillId="0" borderId="23" xfId="3" applyNumberFormat="1" applyFont="1" applyBorder="1" applyAlignment="1">
      <alignment horizontal="right"/>
    </xf>
    <xf numFmtId="168" fontId="17" fillId="0" borderId="2" xfId="3" applyNumberFormat="1" applyFont="1" applyBorder="1" applyAlignment="1">
      <alignment horizontal="right"/>
    </xf>
    <xf numFmtId="168" fontId="17" fillId="0" borderId="2" xfId="3" applyNumberFormat="1" applyFont="1" applyFill="1" applyBorder="1" applyAlignment="1">
      <alignment horizontal="right"/>
    </xf>
    <xf numFmtId="168" fontId="50" fillId="0" borderId="0" xfId="0" applyNumberFormat="1" applyFont="1"/>
    <xf numFmtId="0" fontId="17" fillId="0" borderId="0" xfId="0" applyFont="1" applyBorder="1" applyAlignment="1">
      <alignment wrapText="1"/>
    </xf>
    <xf numFmtId="168" fontId="17" fillId="0" borderId="17" xfId="3" applyNumberFormat="1" applyFont="1" applyBorder="1" applyAlignment="1">
      <alignment horizontal="right"/>
    </xf>
    <xf numFmtId="168" fontId="17" fillId="0" borderId="0" xfId="3" applyNumberFormat="1" applyFont="1" applyBorder="1" applyAlignment="1">
      <alignment horizontal="right"/>
    </xf>
    <xf numFmtId="168" fontId="17" fillId="0" borderId="0" xfId="3" applyNumberFormat="1" applyFont="1" applyFill="1" applyBorder="1" applyAlignment="1">
      <alignment horizontal="right"/>
    </xf>
    <xf numFmtId="0" fontId="17" fillId="0" borderId="45" xfId="0" applyFont="1" applyBorder="1"/>
    <xf numFmtId="0" fontId="17" fillId="0" borderId="45" xfId="0" applyFont="1" applyBorder="1" applyAlignment="1">
      <alignment wrapText="1"/>
    </xf>
    <xf numFmtId="168" fontId="47" fillId="0" borderId="12" xfId="3" applyNumberFormat="1" applyFont="1" applyFill="1" applyBorder="1"/>
    <xf numFmtId="0" fontId="50" fillId="0" borderId="0" xfId="0" applyFont="1" applyBorder="1"/>
    <xf numFmtId="0" fontId="17" fillId="0" borderId="8" xfId="0" applyFont="1" applyFill="1" applyBorder="1" applyAlignment="1">
      <alignment wrapText="1"/>
    </xf>
    <xf numFmtId="0" fontId="17" fillId="0" borderId="3" xfId="0" applyFont="1" applyFill="1" applyBorder="1"/>
    <xf numFmtId="0" fontId="17" fillId="0" borderId="14" xfId="0" applyFont="1" applyBorder="1"/>
    <xf numFmtId="0" fontId="17" fillId="0" borderId="21" xfId="0" applyFont="1" applyBorder="1" applyAlignment="1">
      <alignment wrapText="1"/>
    </xf>
    <xf numFmtId="0" fontId="17" fillId="0" borderId="12" xfId="0" applyFont="1" applyBorder="1"/>
    <xf numFmtId="168" fontId="47" fillId="0" borderId="21" xfId="3" applyNumberFormat="1" applyFont="1" applyFill="1" applyBorder="1"/>
    <xf numFmtId="168" fontId="47" fillId="0" borderId="6" xfId="3" applyNumberFormat="1" applyFont="1" applyFill="1" applyBorder="1"/>
    <xf numFmtId="168" fontId="47" fillId="0" borderId="23" xfId="3" applyNumberFormat="1" applyFont="1" applyBorder="1"/>
    <xf numFmtId="165" fontId="50" fillId="0" borderId="0" xfId="0" applyNumberFormat="1" applyFont="1"/>
    <xf numFmtId="168" fontId="15" fillId="0" borderId="17" xfId="3" applyNumberFormat="1" applyFont="1" applyBorder="1"/>
    <xf numFmtId="0" fontId="54" fillId="0" borderId="8" xfId="0" applyFont="1" applyBorder="1" applyAlignment="1" applyProtection="1">
      <alignment horizontal="left" vertical="top" wrapText="1"/>
      <protection locked="0"/>
    </xf>
    <xf numFmtId="0" fontId="54" fillId="0" borderId="3" xfId="0" applyFont="1" applyBorder="1" applyAlignment="1" applyProtection="1">
      <alignment horizontal="left" vertical="top"/>
      <protection locked="0"/>
    </xf>
    <xf numFmtId="0" fontId="54" fillId="0" borderId="20" xfId="0" applyFont="1" applyBorder="1" applyAlignment="1" applyProtection="1">
      <alignment horizontal="left" vertical="top" wrapText="1"/>
      <protection locked="0"/>
    </xf>
    <xf numFmtId="0" fontId="54" fillId="0" borderId="0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>
      <alignment wrapText="1"/>
    </xf>
    <xf numFmtId="0" fontId="17" fillId="0" borderId="4" xfId="0" applyFont="1" applyBorder="1"/>
    <xf numFmtId="168" fontId="17" fillId="0" borderId="1" xfId="3" applyNumberFormat="1" applyFont="1" applyBorder="1" applyAlignment="1">
      <alignment horizontal="right"/>
    </xf>
    <xf numFmtId="168" fontId="17" fillId="0" borderId="1" xfId="3" applyNumberFormat="1" applyFont="1" applyFill="1" applyBorder="1" applyAlignment="1">
      <alignment horizontal="right"/>
    </xf>
    <xf numFmtId="0" fontId="17" fillId="0" borderId="3" xfId="0" applyFont="1" applyBorder="1" applyAlignment="1">
      <alignment wrapText="1"/>
    </xf>
    <xf numFmtId="0" fontId="47" fillId="0" borderId="19" xfId="0" applyFont="1" applyBorder="1" applyAlignment="1">
      <alignment wrapText="1"/>
    </xf>
    <xf numFmtId="168" fontId="47" fillId="0" borderId="21" xfId="3" applyNumberFormat="1" applyFont="1" applyBorder="1"/>
    <xf numFmtId="0" fontId="47" fillId="0" borderId="3" xfId="0" applyFont="1" applyBorder="1" applyAlignment="1">
      <alignment wrapText="1"/>
    </xf>
    <xf numFmtId="168" fontId="15" fillId="0" borderId="4" xfId="3" applyNumberFormat="1" applyFont="1" applyFill="1" applyBorder="1"/>
    <xf numFmtId="168" fontId="15" fillId="0" borderId="4" xfId="3" applyNumberFormat="1" applyFont="1" applyBorder="1"/>
    <xf numFmtId="0" fontId="47" fillId="0" borderId="2" xfId="0" applyFont="1" applyBorder="1"/>
    <xf numFmtId="0" fontId="47" fillId="0" borderId="2" xfId="0" applyFont="1" applyBorder="1" applyAlignment="1">
      <alignment wrapText="1"/>
    </xf>
    <xf numFmtId="168" fontId="47" fillId="8" borderId="2" xfId="3" applyNumberFormat="1" applyFont="1" applyFill="1" applyBorder="1"/>
    <xf numFmtId="0" fontId="61" fillId="3" borderId="0" xfId="0" applyFont="1" applyFill="1"/>
    <xf numFmtId="168" fontId="18" fillId="0" borderId="0" xfId="3" applyNumberFormat="1" applyFont="1"/>
    <xf numFmtId="0" fontId="18" fillId="0" borderId="0" xfId="0" applyFont="1" applyFill="1"/>
    <xf numFmtId="0" fontId="47" fillId="14" borderId="15" xfId="0" applyFont="1" applyFill="1" applyBorder="1"/>
    <xf numFmtId="0" fontId="47" fillId="14" borderId="43" xfId="0" applyFont="1" applyFill="1" applyBorder="1" applyAlignment="1">
      <alignment wrapText="1"/>
    </xf>
    <xf numFmtId="0" fontId="47" fillId="14" borderId="10" xfId="0" applyFont="1" applyFill="1" applyBorder="1"/>
    <xf numFmtId="168" fontId="15" fillId="0" borderId="42" xfId="3" applyNumberFormat="1" applyFont="1" applyFill="1" applyBorder="1"/>
    <xf numFmtId="168" fontId="18" fillId="0" borderId="18" xfId="3" applyNumberFormat="1" applyFont="1" applyFill="1" applyBorder="1"/>
    <xf numFmtId="168" fontId="18" fillId="0" borderId="0" xfId="0" applyNumberFormat="1" applyFont="1"/>
    <xf numFmtId="168" fontId="18" fillId="0" borderId="0" xfId="0" applyNumberFormat="1" applyFont="1" applyFill="1"/>
    <xf numFmtId="0" fontId="54" fillId="0" borderId="0" xfId="4" applyFont="1"/>
    <xf numFmtId="0" fontId="47" fillId="0" borderId="1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17" fillId="0" borderId="3" xfId="0" applyFont="1" applyBorder="1"/>
    <xf numFmtId="168" fontId="47" fillId="0" borderId="40" xfId="3" applyNumberFormat="1" applyFont="1" applyFill="1" applyBorder="1"/>
    <xf numFmtId="165" fontId="18" fillId="0" borderId="0" xfId="0" applyNumberFormat="1" applyFont="1" applyFill="1"/>
    <xf numFmtId="0" fontId="54" fillId="0" borderId="0" xfId="0" applyFont="1" applyAlignment="1" applyProtection="1">
      <alignment horizontal="left" vertical="top"/>
      <protection locked="0"/>
    </xf>
    <xf numFmtId="0" fontId="54" fillId="0" borderId="0" xfId="0" applyFont="1" applyAlignment="1" applyProtection="1">
      <alignment horizontal="left" vertical="top" wrapText="1"/>
      <protection locked="0"/>
    </xf>
    <xf numFmtId="0" fontId="54" fillId="0" borderId="16" xfId="0" applyFont="1" applyBorder="1" applyAlignment="1" applyProtection="1">
      <alignment horizontal="left" vertical="top" wrapText="1"/>
      <protection locked="0"/>
    </xf>
    <xf numFmtId="0" fontId="54" fillId="0" borderId="18" xfId="0" applyFont="1" applyBorder="1" applyAlignment="1" applyProtection="1">
      <alignment horizontal="left" vertical="top" wrapText="1"/>
      <protection locked="0"/>
    </xf>
    <xf numFmtId="168" fontId="47" fillId="0" borderId="18" xfId="3" applyNumberFormat="1" applyFont="1" applyFill="1" applyBorder="1"/>
    <xf numFmtId="168" fontId="15" fillId="0" borderId="5" xfId="3" applyNumberFormat="1" applyFont="1" applyBorder="1"/>
    <xf numFmtId="168" fontId="15" fillId="0" borderId="1" xfId="3" applyNumberFormat="1" applyFont="1" applyFill="1" applyBorder="1"/>
    <xf numFmtId="0" fontId="14" fillId="20" borderId="0" xfId="0" applyFont="1" applyFill="1"/>
    <xf numFmtId="0" fontId="17" fillId="20" borderId="17" xfId="0" applyFont="1" applyFill="1" applyBorder="1"/>
    <xf numFmtId="0" fontId="17" fillId="20" borderId="17" xfId="0" applyFont="1" applyFill="1" applyBorder="1" applyAlignment="1">
      <alignment wrapText="1"/>
    </xf>
    <xf numFmtId="0" fontId="17" fillId="5" borderId="17" xfId="0" applyFont="1" applyFill="1" applyBorder="1" applyAlignment="1">
      <alignment wrapText="1"/>
    </xf>
    <xf numFmtId="37" fontId="18" fillId="0" borderId="0" xfId="0" applyNumberFormat="1" applyFont="1"/>
    <xf numFmtId="0" fontId="17" fillId="5" borderId="17" xfId="0" applyFont="1" applyFill="1" applyBorder="1"/>
    <xf numFmtId="0" fontId="63" fillId="0" borderId="0" xfId="0" applyFont="1"/>
    <xf numFmtId="0" fontId="18" fillId="0" borderId="17" xfId="0" applyFont="1" applyFill="1" applyBorder="1"/>
    <xf numFmtId="168" fontId="15" fillId="0" borderId="14" xfId="3" applyNumberFormat="1" applyFont="1" applyFill="1" applyBorder="1"/>
    <xf numFmtId="168" fontId="15" fillId="10" borderId="17" xfId="3" applyNumberFormat="1" applyFont="1" applyFill="1" applyBorder="1"/>
    <xf numFmtId="168" fontId="15" fillId="10" borderId="0" xfId="3" applyNumberFormat="1" applyFont="1" applyFill="1"/>
    <xf numFmtId="168" fontId="15" fillId="10" borderId="7" xfId="3" applyNumberFormat="1" applyFont="1" applyFill="1" applyBorder="1"/>
    <xf numFmtId="168" fontId="15" fillId="10" borderId="16" xfId="3" applyNumberFormat="1" applyFont="1" applyFill="1" applyBorder="1"/>
    <xf numFmtId="168" fontId="15" fillId="10" borderId="8" xfId="3" applyNumberFormat="1" applyFont="1" applyFill="1" applyBorder="1"/>
    <xf numFmtId="168" fontId="15" fillId="0" borderId="14" xfId="3" applyNumberFormat="1" applyFont="1" applyBorder="1"/>
    <xf numFmtId="168" fontId="15" fillId="10" borderId="14" xfId="3" applyNumberFormat="1" applyFont="1" applyFill="1" applyBorder="1"/>
    <xf numFmtId="168" fontId="15" fillId="10" borderId="19" xfId="3" applyNumberFormat="1" applyFont="1" applyFill="1" applyBorder="1"/>
    <xf numFmtId="168" fontId="15" fillId="10" borderId="21" xfId="3" applyNumberFormat="1" applyFont="1" applyFill="1" applyBorder="1"/>
    <xf numFmtId="168" fontId="15" fillId="10" borderId="1" xfId="3" applyNumberFormat="1" applyFont="1" applyFill="1" applyBorder="1"/>
    <xf numFmtId="0" fontId="47" fillId="8" borderId="2" xfId="0" applyFont="1" applyFill="1" applyBorder="1"/>
    <xf numFmtId="0" fontId="47" fillId="8" borderId="2" xfId="0" applyFont="1" applyFill="1" applyBorder="1" applyAlignment="1">
      <alignment wrapText="1"/>
    </xf>
    <xf numFmtId="168" fontId="15" fillId="8" borderId="23" xfId="3" applyNumberFormat="1" applyFont="1" applyFill="1" applyBorder="1"/>
    <xf numFmtId="168" fontId="15" fillId="8" borderId="2" xfId="3" applyNumberFormat="1" applyFont="1" applyFill="1" applyBorder="1"/>
    <xf numFmtId="0" fontId="64" fillId="0" borderId="0" xfId="0" applyFont="1"/>
    <xf numFmtId="0" fontId="64" fillId="0" borderId="0" xfId="0" applyFont="1" applyAlignment="1">
      <alignment wrapText="1"/>
    </xf>
    <xf numFmtId="0" fontId="47" fillId="14" borderId="28" xfId="0" applyFont="1" applyFill="1" applyBorder="1"/>
    <xf numFmtId="0" fontId="47" fillId="14" borderId="39" xfId="0" applyFont="1" applyFill="1" applyBorder="1"/>
    <xf numFmtId="168" fontId="56" fillId="14" borderId="42" xfId="3" applyNumberFormat="1" applyFont="1" applyFill="1" applyBorder="1" applyAlignment="1">
      <alignment horizontal="center" vertical="center" wrapText="1"/>
    </xf>
    <xf numFmtId="0" fontId="50" fillId="4" borderId="0" xfId="0" applyFont="1" applyFill="1"/>
    <xf numFmtId="166" fontId="50" fillId="0" borderId="16" xfId="10" applyNumberFormat="1" applyFont="1" applyBorder="1"/>
    <xf numFmtId="168" fontId="65" fillId="19" borderId="13" xfId="10" applyNumberFormat="1" applyFont="1" applyFill="1" applyBorder="1"/>
    <xf numFmtId="0" fontId="17" fillId="0" borderId="1" xfId="0" applyFont="1" applyBorder="1"/>
    <xf numFmtId="168" fontId="47" fillId="0" borderId="19" xfId="3" applyNumberFormat="1" applyFont="1" applyBorder="1"/>
    <xf numFmtId="168" fontId="47" fillId="0" borderId="19" xfId="3" applyNumberFormat="1" applyFont="1" applyFill="1" applyBorder="1"/>
    <xf numFmtId="0" fontId="16" fillId="9" borderId="0" xfId="0" applyFont="1" applyFill="1" applyAlignment="1" applyProtection="1">
      <alignment horizontal="left" vertical="top"/>
      <protection locked="0"/>
    </xf>
    <xf numFmtId="0" fontId="54" fillId="9" borderId="17" xfId="0" applyFont="1" applyFill="1" applyBorder="1" applyAlignment="1" applyProtection="1">
      <alignment horizontal="left" vertical="top"/>
      <protection locked="0"/>
    </xf>
    <xf numFmtId="0" fontId="54" fillId="9" borderId="18" xfId="0" applyFont="1" applyFill="1" applyBorder="1" applyAlignment="1" applyProtection="1">
      <alignment horizontal="left" vertical="top"/>
      <protection locked="0"/>
    </xf>
    <xf numFmtId="0" fontId="54" fillId="9" borderId="0" xfId="0" applyFont="1" applyFill="1" applyBorder="1" applyAlignment="1" applyProtection="1">
      <alignment horizontal="left" vertical="top"/>
      <protection locked="0"/>
    </xf>
    <xf numFmtId="168" fontId="17" fillId="0" borderId="0" xfId="3" applyNumberFormat="1" applyFont="1" applyFill="1" applyAlignment="1">
      <alignment horizontal="right"/>
    </xf>
    <xf numFmtId="0" fontId="17" fillId="0" borderId="7" xfId="0" applyFont="1" applyBorder="1" applyAlignment="1"/>
    <xf numFmtId="0" fontId="17" fillId="0" borderId="17" xfId="0" applyFont="1" applyBorder="1" applyAlignment="1"/>
    <xf numFmtId="0" fontId="17" fillId="0" borderId="0" xfId="0" applyFont="1" applyFill="1" applyBorder="1" applyAlignment="1">
      <alignment wrapText="1"/>
    </xf>
    <xf numFmtId="0" fontId="51" fillId="0" borderId="0" xfId="0" applyFont="1"/>
    <xf numFmtId="0" fontId="17" fillId="5" borderId="18" xfId="0" applyFont="1" applyFill="1" applyBorder="1"/>
    <xf numFmtId="0" fontId="17" fillId="5" borderId="0" xfId="0" applyFont="1" applyFill="1" applyBorder="1" applyAlignment="1">
      <alignment wrapText="1"/>
    </xf>
    <xf numFmtId="37" fontId="50" fillId="0" borderId="0" xfId="0" applyNumberFormat="1" applyFont="1" applyFill="1"/>
    <xf numFmtId="167" fontId="51" fillId="0" borderId="0" xfId="3" applyFont="1" applyFill="1"/>
    <xf numFmtId="37" fontId="50" fillId="0" borderId="0" xfId="0" applyNumberFormat="1" applyFont="1"/>
    <xf numFmtId="0" fontId="51" fillId="0" borderId="0" xfId="0" applyFont="1" applyFill="1"/>
    <xf numFmtId="0" fontId="14" fillId="18" borderId="0" xfId="0" applyFont="1" applyFill="1"/>
    <xf numFmtId="0" fontId="17" fillId="18" borderId="17" xfId="0" applyFont="1" applyFill="1" applyBorder="1"/>
    <xf numFmtId="0" fontId="17" fillId="18" borderId="18" xfId="0" applyFont="1" applyFill="1" applyBorder="1" applyAlignment="1">
      <alignment wrapText="1"/>
    </xf>
    <xf numFmtId="0" fontId="17" fillId="18" borderId="0" xfId="0" applyFont="1" applyFill="1" applyBorder="1" applyAlignment="1">
      <alignment wrapText="1"/>
    </xf>
    <xf numFmtId="0" fontId="47" fillId="0" borderId="23" xfId="0" applyFont="1" applyBorder="1"/>
    <xf numFmtId="168" fontId="47" fillId="8" borderId="23" xfId="3" applyNumberFormat="1" applyFont="1" applyFill="1" applyBorder="1"/>
    <xf numFmtId="0" fontId="17" fillId="0" borderId="8" xfId="0" applyFont="1" applyFill="1" applyBorder="1"/>
    <xf numFmtId="0" fontId="17" fillId="0" borderId="21" xfId="0" applyFont="1" applyBorder="1"/>
    <xf numFmtId="0" fontId="17" fillId="0" borderId="20" xfId="0" applyFont="1" applyBorder="1"/>
    <xf numFmtId="0" fontId="47" fillId="0" borderId="6" xfId="0" applyFont="1" applyBorder="1"/>
    <xf numFmtId="0" fontId="15" fillId="10" borderId="0" xfId="0" applyFont="1" applyFill="1"/>
    <xf numFmtId="0" fontId="47" fillId="10" borderId="0" xfId="0" applyFont="1" applyFill="1"/>
    <xf numFmtId="168" fontId="47" fillId="0" borderId="7" xfId="3" applyNumberFormat="1" applyFont="1" applyFill="1" applyBorder="1"/>
    <xf numFmtId="168" fontId="47" fillId="0" borderId="3" xfId="3" applyNumberFormat="1" applyFont="1" applyFill="1" applyBorder="1"/>
    <xf numFmtId="0" fontId="47" fillId="4" borderId="0" xfId="0" applyFont="1" applyFill="1"/>
    <xf numFmtId="168" fontId="47" fillId="0" borderId="14" xfId="3" applyNumberFormat="1" applyFont="1" applyFill="1" applyBorder="1"/>
    <xf numFmtId="168" fontId="47" fillId="0" borderId="47" xfId="3" applyNumberFormat="1" applyFont="1" applyFill="1" applyBorder="1"/>
    <xf numFmtId="168" fontId="47" fillId="0" borderId="38" xfId="3" applyNumberFormat="1" applyFont="1" applyFill="1" applyBorder="1"/>
    <xf numFmtId="0" fontId="17" fillId="3" borderId="0" xfId="0" applyFont="1" applyFill="1" applyBorder="1"/>
    <xf numFmtId="0" fontId="15" fillId="2" borderId="0" xfId="0" applyFont="1" applyFill="1" applyBorder="1"/>
    <xf numFmtId="0" fontId="47" fillId="2" borderId="17" xfId="0" applyFont="1" applyFill="1" applyBorder="1"/>
    <xf numFmtId="0" fontId="47" fillId="2" borderId="0" xfId="0" applyFont="1" applyFill="1" applyBorder="1"/>
    <xf numFmtId="168" fontId="56" fillId="6" borderId="18" xfId="3" applyNumberFormat="1" applyFont="1" applyFill="1" applyBorder="1" applyAlignment="1">
      <alignment horizontal="center" vertical="center" wrapText="1"/>
    </xf>
    <xf numFmtId="168" fontId="56" fillId="6" borderId="20" xfId="3" applyNumberFormat="1" applyFont="1" applyFill="1" applyBorder="1" applyAlignment="1">
      <alignment horizontal="center" vertical="center" wrapText="1"/>
    </xf>
    <xf numFmtId="168" fontId="56" fillId="6" borderId="0" xfId="3" applyNumberFormat="1" applyFont="1" applyFill="1" applyBorder="1" applyAlignment="1">
      <alignment horizontal="center" vertical="center" wrapText="1"/>
    </xf>
    <xf numFmtId="168" fontId="56" fillId="10" borderId="18" xfId="3" applyNumberFormat="1" applyFont="1" applyFill="1" applyBorder="1" applyAlignment="1">
      <alignment horizontal="center" vertical="center" wrapText="1"/>
    </xf>
    <xf numFmtId="168" fontId="56" fillId="10" borderId="17" xfId="3" applyNumberFormat="1" applyFont="1" applyFill="1" applyBorder="1" applyAlignment="1">
      <alignment horizontal="center" vertical="center" wrapText="1"/>
    </xf>
    <xf numFmtId="0" fontId="47" fillId="0" borderId="0" xfId="0" applyFont="1" applyFill="1" applyBorder="1"/>
    <xf numFmtId="168" fontId="56" fillId="0" borderId="18" xfId="3" applyNumberFormat="1" applyFont="1" applyFill="1" applyBorder="1" applyAlignment="1">
      <alignment horizontal="center" vertical="center" wrapText="1"/>
    </xf>
    <xf numFmtId="168" fontId="56" fillId="0" borderId="20" xfId="3" applyNumberFormat="1" applyFont="1" applyFill="1" applyBorder="1" applyAlignment="1">
      <alignment horizontal="center" vertical="center" wrapText="1"/>
    </xf>
    <xf numFmtId="168" fontId="56" fillId="0" borderId="0" xfId="3" applyNumberFormat="1" applyFont="1" applyFill="1" applyBorder="1" applyAlignment="1">
      <alignment horizontal="center" vertical="center" wrapText="1"/>
    </xf>
    <xf numFmtId="0" fontId="14" fillId="8" borderId="17" xfId="0" applyFont="1" applyFill="1" applyBorder="1"/>
    <xf numFmtId="0" fontId="17" fillId="8" borderId="17" xfId="0" applyFont="1" applyFill="1" applyBorder="1"/>
    <xf numFmtId="0" fontId="17" fillId="8" borderId="18" xfId="0" applyFont="1" applyFill="1" applyBorder="1"/>
    <xf numFmtId="0" fontId="17" fillId="8" borderId="0" xfId="0" applyFont="1" applyFill="1" applyBorder="1"/>
    <xf numFmtId="0" fontId="16" fillId="0" borderId="17" xfId="4" applyFont="1" applyFill="1" applyBorder="1"/>
    <xf numFmtId="0" fontId="54" fillId="0" borderId="17" xfId="4" applyFont="1" applyFill="1" applyBorder="1"/>
    <xf numFmtId="0" fontId="54" fillId="0" borderId="18" xfId="4" applyFont="1" applyFill="1" applyBorder="1"/>
    <xf numFmtId="0" fontId="54" fillId="0" borderId="0" xfId="4" applyFont="1" applyFill="1" applyBorder="1"/>
    <xf numFmtId="168" fontId="17" fillId="0" borderId="1" xfId="3" applyNumberFormat="1" applyFont="1" applyBorder="1" applyAlignment="1">
      <alignment horizontal="right" wrapText="1"/>
    </xf>
    <xf numFmtId="168" fontId="17" fillId="0" borderId="1" xfId="3" applyNumberFormat="1" applyFont="1" applyFill="1" applyBorder="1" applyAlignment="1">
      <alignment horizontal="right" wrapText="1"/>
    </xf>
    <xf numFmtId="168" fontId="17" fillId="0" borderId="16" xfId="3" applyNumberFormat="1" applyFont="1" applyBorder="1" applyAlignment="1">
      <alignment horizontal="right"/>
    </xf>
    <xf numFmtId="0" fontId="16" fillId="0" borderId="17" xfId="0" applyFont="1" applyBorder="1" applyAlignment="1" applyProtection="1">
      <alignment horizontal="left" vertical="top"/>
      <protection locked="0"/>
    </xf>
    <xf numFmtId="0" fontId="16" fillId="9" borderId="17" xfId="0" applyFont="1" applyFill="1" applyBorder="1" applyAlignment="1" applyProtection="1">
      <alignment horizontal="left" vertical="top"/>
      <protection locked="0"/>
    </xf>
    <xf numFmtId="168" fontId="47" fillId="10" borderId="19" xfId="3" applyNumberFormat="1" applyFont="1" applyFill="1" applyBorder="1"/>
    <xf numFmtId="168" fontId="47" fillId="0" borderId="17" xfId="3" applyNumberFormat="1" applyFont="1" applyBorder="1"/>
    <xf numFmtId="168" fontId="47" fillId="10" borderId="0" xfId="3" applyNumberFormat="1" applyFont="1" applyFill="1" applyBorder="1"/>
    <xf numFmtId="0" fontId="47" fillId="9" borderId="17" xfId="0" applyFont="1" applyFill="1" applyBorder="1"/>
    <xf numFmtId="0" fontId="47" fillId="9" borderId="0" xfId="0" applyFont="1" applyFill="1" applyBorder="1"/>
    <xf numFmtId="0" fontId="17" fillId="0" borderId="16" xfId="0" applyFont="1" applyFill="1" applyBorder="1"/>
    <xf numFmtId="0" fontId="17" fillId="0" borderId="3" xfId="0" applyFont="1" applyFill="1" applyBorder="1" applyAlignment="1">
      <alignment wrapText="1"/>
    </xf>
    <xf numFmtId="168" fontId="15" fillId="9" borderId="7" xfId="3" applyNumberFormat="1" applyFont="1" applyFill="1" applyBorder="1"/>
    <xf numFmtId="168" fontId="15" fillId="9" borderId="16" xfId="3" applyNumberFormat="1" applyFont="1" applyFill="1" applyBorder="1"/>
    <xf numFmtId="0" fontId="15" fillId="0" borderId="17" xfId="0" applyFont="1" applyFill="1" applyBorder="1"/>
    <xf numFmtId="0" fontId="47" fillId="0" borderId="18" xfId="0" applyFont="1" applyFill="1" applyBorder="1"/>
    <xf numFmtId="0" fontId="47" fillId="0" borderId="0" xfId="0" applyFont="1" applyFill="1" applyBorder="1" applyAlignment="1">
      <alignment wrapText="1"/>
    </xf>
    <xf numFmtId="0" fontId="47" fillId="0" borderId="17" xfId="0" applyFont="1" applyFill="1" applyBorder="1" applyAlignment="1">
      <alignment wrapText="1"/>
    </xf>
    <xf numFmtId="0" fontId="17" fillId="0" borderId="20" xfId="0" applyFont="1" applyFill="1" applyBorder="1" applyAlignment="1">
      <alignment wrapText="1"/>
    </xf>
    <xf numFmtId="0" fontId="47" fillId="0" borderId="20" xfId="0" applyFont="1" applyFill="1" applyBorder="1" applyAlignment="1">
      <alignment wrapText="1"/>
    </xf>
    <xf numFmtId="168" fontId="15" fillId="9" borderId="17" xfId="3" applyNumberFormat="1" applyFont="1" applyFill="1" applyBorder="1"/>
    <xf numFmtId="0" fontId="47" fillId="0" borderId="14" xfId="0" applyFont="1" applyFill="1" applyBorder="1"/>
    <xf numFmtId="168" fontId="17" fillId="8" borderId="5" xfId="3" applyNumberFormat="1" applyFont="1" applyFill="1" applyBorder="1" applyAlignment="1">
      <alignment horizontal="right"/>
    </xf>
    <xf numFmtId="168" fontId="17" fillId="8" borderId="4" xfId="3" applyNumberFormat="1" applyFont="1" applyFill="1" applyBorder="1" applyAlignment="1">
      <alignment horizontal="right"/>
    </xf>
    <xf numFmtId="167" fontId="15" fillId="0" borderId="0" xfId="3" applyFont="1"/>
    <xf numFmtId="168" fontId="55" fillId="19" borderId="13" xfId="10" applyNumberFormat="1" applyFont="1" applyFill="1" applyBorder="1"/>
    <xf numFmtId="0" fontId="18" fillId="0" borderId="17" xfId="0" applyFont="1" applyBorder="1"/>
    <xf numFmtId="0" fontId="18" fillId="0" borderId="0" xfId="0" applyFont="1" applyBorder="1"/>
    <xf numFmtId="167" fontId="18" fillId="0" borderId="0" xfId="3" applyFont="1" applyBorder="1"/>
    <xf numFmtId="0" fontId="18" fillId="0" borderId="0" xfId="0" applyFont="1" applyFill="1" applyBorder="1"/>
    <xf numFmtId="168" fontId="15" fillId="0" borderId="39" xfId="3" applyNumberFormat="1" applyFont="1" applyFill="1" applyBorder="1"/>
    <xf numFmtId="168" fontId="18" fillId="0" borderId="17" xfId="3" applyNumberFormat="1" applyFont="1" applyFill="1" applyBorder="1"/>
    <xf numFmtId="0" fontId="15" fillId="9" borderId="0" xfId="0" applyFont="1" applyFill="1"/>
    <xf numFmtId="0" fontId="47" fillId="9" borderId="17" xfId="0" applyFont="1" applyFill="1" applyBorder="1" applyAlignment="1">
      <alignment wrapText="1"/>
    </xf>
    <xf numFmtId="0" fontId="47" fillId="9" borderId="18" xfId="0" applyFont="1" applyFill="1" applyBorder="1"/>
    <xf numFmtId="0" fontId="47" fillId="9" borderId="20" xfId="0" applyFont="1" applyFill="1" applyBorder="1" applyAlignment="1">
      <alignment wrapText="1"/>
    </xf>
    <xf numFmtId="0" fontId="15" fillId="8" borderId="0" xfId="0" applyFont="1" applyFill="1"/>
    <xf numFmtId="0" fontId="47" fillId="8" borderId="17" xfId="0" applyFont="1" applyFill="1" applyBorder="1" applyAlignment="1">
      <alignment wrapText="1"/>
    </xf>
    <xf numFmtId="0" fontId="47" fillId="8" borderId="17" xfId="0" applyFont="1" applyFill="1" applyBorder="1"/>
    <xf numFmtId="0" fontId="47" fillId="8" borderId="18" xfId="0" applyFont="1" applyFill="1" applyBorder="1"/>
    <xf numFmtId="0" fontId="47" fillId="8" borderId="20" xfId="0" applyFont="1" applyFill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6" xfId="0" applyFont="1" applyBorder="1" applyAlignment="1">
      <alignment wrapText="1"/>
    </xf>
    <xf numFmtId="168" fontId="18" fillId="0" borderId="0" xfId="0" applyNumberFormat="1" applyFont="1" applyBorder="1"/>
    <xf numFmtId="167" fontId="18" fillId="0" borderId="0" xfId="3" applyFont="1" applyFill="1" applyBorder="1"/>
    <xf numFmtId="167" fontId="47" fillId="0" borderId="0" xfId="3" applyFont="1" applyBorder="1"/>
    <xf numFmtId="168" fontId="47" fillId="0" borderId="39" xfId="3" applyNumberFormat="1" applyFont="1" applyBorder="1"/>
    <xf numFmtId="168" fontId="47" fillId="0" borderId="39" xfId="3" applyNumberFormat="1" applyFont="1" applyFill="1" applyBorder="1"/>
    <xf numFmtId="165" fontId="18" fillId="0" borderId="0" xfId="0" applyNumberFormat="1" applyFont="1" applyBorder="1"/>
    <xf numFmtId="0" fontId="47" fillId="0" borderId="8" xfId="0" applyFont="1" applyBorder="1" applyAlignment="1">
      <alignment wrapText="1"/>
    </xf>
    <xf numFmtId="0" fontId="54" fillId="0" borderId="17" xfId="0" applyFont="1" applyBorder="1" applyAlignment="1" applyProtection="1">
      <alignment horizontal="left" vertical="top" wrapText="1"/>
      <protection locked="0"/>
    </xf>
    <xf numFmtId="0" fontId="54" fillId="9" borderId="17" xfId="0" applyFont="1" applyFill="1" applyBorder="1" applyAlignment="1" applyProtection="1">
      <alignment horizontal="left" vertical="top" wrapText="1"/>
      <protection locked="0"/>
    </xf>
    <xf numFmtId="0" fontId="54" fillId="9" borderId="20" xfId="0" applyFont="1" applyFill="1" applyBorder="1" applyAlignment="1" applyProtection="1">
      <alignment horizontal="left" vertical="top" wrapText="1"/>
      <protection locked="0"/>
    </xf>
    <xf numFmtId="0" fontId="17" fillId="0" borderId="16" xfId="0" applyFont="1" applyFill="1" applyBorder="1" applyAlignment="1">
      <alignment wrapText="1"/>
    </xf>
    <xf numFmtId="0" fontId="63" fillId="0" borderId="0" xfId="0" applyFont="1" applyFill="1" applyBorder="1"/>
    <xf numFmtId="43" fontId="18" fillId="0" borderId="0" xfId="0" applyNumberFormat="1" applyFont="1" applyFill="1" applyBorder="1"/>
    <xf numFmtId="37" fontId="18" fillId="0" borderId="17" xfId="0" applyNumberFormat="1" applyFont="1" applyFill="1" applyBorder="1"/>
    <xf numFmtId="0" fontId="17" fillId="0" borderId="18" xfId="0" applyFont="1" applyFill="1" applyBorder="1" applyAlignment="1"/>
    <xf numFmtId="168" fontId="15" fillId="0" borderId="6" xfId="3" applyNumberFormat="1" applyFont="1" applyBorder="1"/>
    <xf numFmtId="168" fontId="15" fillId="0" borderId="6" xfId="3" applyNumberFormat="1" applyFont="1" applyFill="1" applyBorder="1"/>
    <xf numFmtId="168" fontId="17" fillId="8" borderId="2" xfId="3" applyNumberFormat="1" applyFont="1" applyFill="1" applyBorder="1" applyAlignment="1">
      <alignment horizontal="right"/>
    </xf>
    <xf numFmtId="0" fontId="17" fillId="0" borderId="8" xfId="0" applyFont="1" applyBorder="1" applyAlignment="1">
      <alignment wrapText="1"/>
    </xf>
    <xf numFmtId="0" fontId="17" fillId="9" borderId="14" xfId="0" applyFont="1" applyFill="1" applyBorder="1" applyAlignment="1">
      <alignment wrapText="1"/>
    </xf>
    <xf numFmtId="0" fontId="17" fillId="9" borderId="21" xfId="0" applyFont="1" applyFill="1" applyBorder="1" applyAlignment="1">
      <alignment wrapText="1"/>
    </xf>
    <xf numFmtId="168" fontId="15" fillId="0" borderId="5" xfId="3" applyNumberFormat="1" applyFont="1" applyFill="1" applyBorder="1"/>
    <xf numFmtId="0" fontId="54" fillId="0" borderId="7" xfId="0" applyFont="1" applyBorder="1" applyAlignment="1" applyProtection="1">
      <alignment horizontal="left" vertical="top" wrapText="1"/>
      <protection locked="0"/>
    </xf>
    <xf numFmtId="168" fontId="16" fillId="0" borderId="18" xfId="3" applyNumberFormat="1" applyFont="1" applyBorder="1"/>
    <xf numFmtId="168" fontId="16" fillId="0" borderId="17" xfId="3" applyNumberFormat="1" applyFont="1" applyBorder="1"/>
    <xf numFmtId="0" fontId="17" fillId="0" borderId="14" xfId="0" applyFont="1" applyBorder="1" applyAlignment="1">
      <alignment wrapText="1"/>
    </xf>
    <xf numFmtId="0" fontId="17" fillId="0" borderId="19" xfId="0" applyFont="1" applyBorder="1"/>
    <xf numFmtId="168" fontId="17" fillId="8" borderId="1" xfId="3" applyNumberFormat="1" applyFont="1" applyFill="1" applyBorder="1" applyAlignment="1">
      <alignment horizontal="right"/>
    </xf>
    <xf numFmtId="168" fontId="56" fillId="14" borderId="43" xfId="3" applyNumberFormat="1" applyFont="1" applyFill="1" applyBorder="1" applyAlignment="1">
      <alignment horizontal="center" vertical="center" wrapText="1"/>
    </xf>
    <xf numFmtId="0" fontId="54" fillId="0" borderId="18" xfId="4" applyFont="1" applyBorder="1"/>
    <xf numFmtId="0" fontId="54" fillId="0" borderId="20" xfId="4" applyFont="1" applyBorder="1" applyAlignment="1">
      <alignment wrapText="1"/>
    </xf>
    <xf numFmtId="168" fontId="65" fillId="19" borderId="13" xfId="10" applyNumberFormat="1" applyFont="1" applyFill="1" applyBorder="1" applyAlignment="1">
      <alignment horizontal="left"/>
    </xf>
    <xf numFmtId="165" fontId="18" fillId="0" borderId="0" xfId="0" applyNumberFormat="1" applyFont="1"/>
    <xf numFmtId="0" fontId="54" fillId="9" borderId="14" xfId="0" applyFont="1" applyFill="1" applyBorder="1" applyAlignment="1" applyProtection="1">
      <alignment horizontal="left" vertical="top"/>
      <protection locked="0"/>
    </xf>
    <xf numFmtId="0" fontId="54" fillId="9" borderId="14" xfId="0" applyFont="1" applyFill="1" applyBorder="1" applyAlignment="1" applyProtection="1">
      <alignment horizontal="left" vertical="top" wrapText="1"/>
      <protection locked="0"/>
    </xf>
    <xf numFmtId="168" fontId="15" fillId="9" borderId="12" xfId="3" applyNumberFormat="1" applyFont="1" applyFill="1" applyBorder="1"/>
    <xf numFmtId="0" fontId="17" fillId="5" borderId="20" xfId="0" applyFont="1" applyFill="1" applyBorder="1" applyAlignment="1">
      <alignment wrapText="1"/>
    </xf>
    <xf numFmtId="37" fontId="18" fillId="0" borderId="0" xfId="0" applyNumberFormat="1" applyFont="1" applyFill="1"/>
    <xf numFmtId="0" fontId="15" fillId="0" borderId="17" xfId="0" applyFont="1" applyBorder="1" applyAlignment="1">
      <alignment wrapText="1"/>
    </xf>
    <xf numFmtId="0" fontId="47" fillId="0" borderId="20" xfId="0" applyFont="1" applyBorder="1"/>
    <xf numFmtId="0" fontId="15" fillId="9" borderId="17" xfId="0" applyFont="1" applyFill="1" applyBorder="1" applyAlignment="1">
      <alignment wrapText="1"/>
    </xf>
    <xf numFmtId="0" fontId="47" fillId="9" borderId="20" xfId="0" applyFont="1" applyFill="1" applyBorder="1"/>
    <xf numFmtId="0" fontId="15" fillId="0" borderId="17" xfId="0" applyFont="1" applyFill="1" applyBorder="1" applyAlignment="1">
      <alignment wrapText="1"/>
    </xf>
    <xf numFmtId="0" fontId="47" fillId="0" borderId="20" xfId="0" applyFont="1" applyFill="1" applyBorder="1"/>
    <xf numFmtId="0" fontId="15" fillId="4" borderId="0" xfId="0" applyFont="1" applyFill="1"/>
    <xf numFmtId="0" fontId="15" fillId="4" borderId="17" xfId="0" applyFont="1" applyFill="1" applyBorder="1" applyAlignment="1">
      <alignment wrapText="1"/>
    </xf>
    <xf numFmtId="0" fontId="47" fillId="4" borderId="17" xfId="0" applyFont="1" applyFill="1" applyBorder="1"/>
    <xf numFmtId="0" fontId="47" fillId="4" borderId="18" xfId="0" applyFont="1" applyFill="1" applyBorder="1"/>
    <xf numFmtId="0" fontId="47" fillId="4" borderId="20" xfId="0" applyFont="1" applyFill="1" applyBorder="1"/>
    <xf numFmtId="0" fontId="15" fillId="0" borderId="5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9" borderId="7" xfId="0" applyFont="1" applyFill="1" applyBorder="1" applyAlignment="1">
      <alignment wrapText="1"/>
    </xf>
    <xf numFmtId="0" fontId="47" fillId="9" borderId="7" xfId="0" applyFont="1" applyFill="1" applyBorder="1"/>
    <xf numFmtId="0" fontId="47" fillId="9" borderId="16" xfId="0" applyFont="1" applyFill="1" applyBorder="1"/>
    <xf numFmtId="0" fontId="47" fillId="9" borderId="8" xfId="0" applyFont="1" applyFill="1" applyBorder="1"/>
    <xf numFmtId="0" fontId="15" fillId="0" borderId="14" xfId="0" applyFont="1" applyBorder="1" applyAlignment="1">
      <alignment wrapText="1"/>
    </xf>
    <xf numFmtId="0" fontId="47" fillId="0" borderId="21" xfId="0" applyFont="1" applyBorder="1"/>
    <xf numFmtId="0" fontId="15" fillId="0" borderId="36" xfId="0" applyFont="1" applyBorder="1" applyAlignment="1">
      <alignment wrapText="1"/>
    </xf>
    <xf numFmtId="0" fontId="47" fillId="0" borderId="36" xfId="0" applyFont="1" applyBorder="1"/>
    <xf numFmtId="168" fontId="15" fillId="0" borderId="23" xfId="3" applyNumberFormat="1" applyFont="1" applyBorder="1"/>
    <xf numFmtId="0" fontId="16" fillId="0" borderId="7" xfId="0" applyFont="1" applyBorder="1" applyAlignment="1" applyProtection="1">
      <alignment horizontal="left" vertical="top" wrapText="1"/>
      <protection locked="0"/>
    </xf>
    <xf numFmtId="0" fontId="54" fillId="0" borderId="8" xfId="0" applyFont="1" applyBorder="1" applyAlignment="1" applyProtection="1">
      <alignment horizontal="left" vertical="top"/>
      <protection locked="0"/>
    </xf>
    <xf numFmtId="0" fontId="16" fillId="0" borderId="17" xfId="0" applyFont="1" applyBorder="1" applyAlignment="1" applyProtection="1">
      <alignment horizontal="left" vertical="top" wrapText="1"/>
      <protection locked="0"/>
    </xf>
    <xf numFmtId="0" fontId="54" fillId="0" borderId="20" xfId="0" applyFont="1" applyBorder="1" applyAlignment="1" applyProtection="1">
      <alignment horizontal="left" vertical="top"/>
      <protection locked="0"/>
    </xf>
    <xf numFmtId="0" fontId="16" fillId="0" borderId="14" xfId="0" applyFont="1" applyBorder="1" applyAlignment="1" applyProtection="1">
      <alignment horizontal="left" vertical="top" wrapText="1"/>
      <protection locked="0"/>
    </xf>
    <xf numFmtId="0" fontId="54" fillId="0" borderId="21" xfId="0" applyFont="1" applyBorder="1" applyAlignment="1" applyProtection="1">
      <alignment horizontal="left" vertical="top"/>
      <protection locked="0"/>
    </xf>
    <xf numFmtId="0" fontId="15" fillId="0" borderId="1" xfId="0" applyFont="1" applyBorder="1" applyAlignment="1">
      <alignment wrapText="1"/>
    </xf>
    <xf numFmtId="0" fontId="14" fillId="0" borderId="3" xfId="0" applyFont="1" applyFill="1" applyBorder="1"/>
    <xf numFmtId="0" fontId="14" fillId="0" borderId="7" xfId="0" applyFont="1" applyFill="1" applyBorder="1" applyAlignment="1">
      <alignment wrapText="1"/>
    </xf>
    <xf numFmtId="0" fontId="14" fillId="0" borderId="17" xfId="0" applyFont="1" applyFill="1" applyBorder="1" applyAlignment="1">
      <alignment wrapText="1"/>
    </xf>
    <xf numFmtId="0" fontId="14" fillId="5" borderId="17" xfId="0" applyFont="1" applyFill="1" applyBorder="1" applyAlignment="1">
      <alignment wrapText="1"/>
    </xf>
    <xf numFmtId="0" fontId="14" fillId="21" borderId="17" xfId="0" applyFont="1" applyFill="1" applyBorder="1" applyAlignment="1">
      <alignment wrapText="1"/>
    </xf>
    <xf numFmtId="0" fontId="17" fillId="21" borderId="17" xfId="0" applyFont="1" applyFill="1" applyBorder="1"/>
    <xf numFmtId="0" fontId="17" fillId="21" borderId="18" xfId="0" applyFont="1" applyFill="1" applyBorder="1"/>
    <xf numFmtId="168" fontId="15" fillId="21" borderId="17" xfId="3" applyNumberFormat="1" applyFont="1" applyFill="1" applyBorder="1"/>
    <xf numFmtId="0" fontId="14" fillId="21" borderId="18" xfId="0" applyFont="1" applyFill="1" applyBorder="1" applyAlignment="1">
      <alignment wrapText="1"/>
    </xf>
    <xf numFmtId="0" fontId="15" fillId="0" borderId="18" xfId="0" applyFont="1" applyFill="1" applyBorder="1" applyAlignment="1">
      <alignment wrapText="1"/>
    </xf>
    <xf numFmtId="0" fontId="14" fillId="5" borderId="18" xfId="0" applyFont="1" applyFill="1" applyBorder="1" applyAlignment="1">
      <alignment wrapText="1"/>
    </xf>
    <xf numFmtId="0" fontId="14" fillId="0" borderId="18" xfId="0" applyFont="1" applyFill="1" applyBorder="1" applyAlignment="1">
      <alignment wrapText="1"/>
    </xf>
    <xf numFmtId="0" fontId="47" fillId="0" borderId="18" xfId="0" applyFont="1" applyFill="1" applyBorder="1" applyAlignment="1">
      <alignment wrapText="1"/>
    </xf>
    <xf numFmtId="168" fontId="15" fillId="21" borderId="0" xfId="3" applyNumberFormat="1" applyFont="1" applyFill="1" applyBorder="1"/>
    <xf numFmtId="0" fontId="15" fillId="8" borderId="2" xfId="0" applyFont="1" applyFill="1" applyBorder="1" applyAlignment="1">
      <alignment wrapText="1"/>
    </xf>
    <xf numFmtId="0" fontId="47" fillId="8" borderId="36" xfId="0" applyFont="1" applyFill="1" applyBorder="1"/>
    <xf numFmtId="168" fontId="17" fillId="0" borderId="23" xfId="3" applyNumberFormat="1" applyFont="1" applyFill="1" applyBorder="1" applyAlignment="1">
      <alignment horizontal="right"/>
    </xf>
    <xf numFmtId="0" fontId="15" fillId="0" borderId="0" xfId="0" applyFont="1" applyFill="1" applyAlignment="1">
      <alignment wrapText="1"/>
    </xf>
    <xf numFmtId="0" fontId="47" fillId="0" borderId="0" xfId="0" applyFont="1" applyFill="1"/>
    <xf numFmtId="0" fontId="19" fillId="0" borderId="0" xfId="0" applyFont="1" applyFill="1"/>
    <xf numFmtId="168" fontId="17" fillId="8" borderId="23" xfId="3" applyNumberFormat="1" applyFont="1" applyFill="1" applyBorder="1" applyAlignment="1">
      <alignment horizontal="right"/>
    </xf>
    <xf numFmtId="0" fontId="15" fillId="0" borderId="7" xfId="0" applyFont="1" applyFill="1" applyBorder="1" applyAlignment="1">
      <alignment wrapText="1"/>
    </xf>
    <xf numFmtId="0" fontId="47" fillId="0" borderId="7" xfId="0" applyFont="1" applyFill="1" applyBorder="1"/>
    <xf numFmtId="0" fontId="47" fillId="0" borderId="16" xfId="0" applyFont="1" applyFill="1" applyBorder="1"/>
    <xf numFmtId="0" fontId="47" fillId="0" borderId="8" xfId="0" applyFont="1" applyFill="1" applyBorder="1"/>
    <xf numFmtId="0" fontId="15" fillId="0" borderId="5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0" fontId="47" fillId="0" borderId="2" xfId="0" applyFont="1" applyFill="1" applyBorder="1"/>
    <xf numFmtId="0" fontId="14" fillId="0" borderId="7" xfId="0" applyFont="1" applyFill="1" applyBorder="1"/>
    <xf numFmtId="0" fontId="14" fillId="0" borderId="3" xfId="0" applyFont="1" applyFill="1" applyBorder="1" applyAlignment="1">
      <alignment wrapText="1"/>
    </xf>
    <xf numFmtId="0" fontId="14" fillId="0" borderId="0" xfId="0" applyFont="1" applyFill="1" applyAlignment="1">
      <alignment wrapText="1"/>
    </xf>
    <xf numFmtId="0" fontId="15" fillId="0" borderId="12" xfId="0" applyFont="1" applyFill="1" applyBorder="1"/>
    <xf numFmtId="0" fontId="15" fillId="0" borderId="12" xfId="0" applyFont="1" applyFill="1" applyBorder="1" applyAlignment="1">
      <alignment wrapText="1"/>
    </xf>
    <xf numFmtId="0" fontId="47" fillId="0" borderId="12" xfId="0" applyFont="1" applyFill="1" applyBorder="1"/>
    <xf numFmtId="168" fontId="15" fillId="0" borderId="33" xfId="3" applyNumberFormat="1" applyFont="1" applyFill="1" applyBorder="1"/>
    <xf numFmtId="0" fontId="15" fillId="0" borderId="3" xfId="0" applyFont="1" applyFill="1" applyBorder="1"/>
    <xf numFmtId="0" fontId="15" fillId="0" borderId="3" xfId="0" applyFont="1" applyFill="1" applyBorder="1" applyAlignment="1">
      <alignment wrapText="1"/>
    </xf>
    <xf numFmtId="0" fontId="47" fillId="0" borderId="3" xfId="0" applyFont="1" applyFill="1" applyBorder="1"/>
    <xf numFmtId="168" fontId="15" fillId="0" borderId="2" xfId="3" applyNumberFormat="1" applyFont="1" applyFill="1" applyBorder="1"/>
    <xf numFmtId="0" fontId="15" fillId="0" borderId="7" xfId="0" applyFont="1" applyFill="1" applyBorder="1"/>
    <xf numFmtId="0" fontId="15" fillId="0" borderId="14" xfId="0" applyFont="1" applyFill="1" applyBorder="1"/>
    <xf numFmtId="0" fontId="47" fillId="14" borderId="5" xfId="0" applyFont="1" applyFill="1" applyBorder="1"/>
    <xf numFmtId="0" fontId="47" fillId="14" borderId="5" xfId="0" applyFont="1" applyFill="1" applyBorder="1" applyAlignment="1"/>
    <xf numFmtId="168" fontId="56" fillId="14" borderId="1" xfId="3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47" fillId="0" borderId="20" xfId="0" applyFont="1" applyBorder="1" applyAlignment="1"/>
    <xf numFmtId="0" fontId="15" fillId="0" borderId="20" xfId="0" applyFont="1" applyBorder="1"/>
    <xf numFmtId="0" fontId="15" fillId="9" borderId="20" xfId="0" applyFont="1" applyFill="1" applyBorder="1"/>
    <xf numFmtId="0" fontId="47" fillId="9" borderId="20" xfId="0" applyFont="1" applyFill="1" applyBorder="1" applyAlignment="1"/>
    <xf numFmtId="0" fontId="15" fillId="0" borderId="20" xfId="0" applyFont="1" applyFill="1" applyBorder="1"/>
    <xf numFmtId="0" fontId="47" fillId="0" borderId="20" xfId="0" applyFont="1" applyFill="1" applyBorder="1" applyAlignment="1"/>
    <xf numFmtId="0" fontId="15" fillId="8" borderId="20" xfId="0" applyFont="1" applyFill="1" applyBorder="1"/>
    <xf numFmtId="0" fontId="47" fillId="8" borderId="20" xfId="0" applyFont="1" applyFill="1" applyBorder="1"/>
    <xf numFmtId="0" fontId="47" fillId="8" borderId="20" xfId="0" applyFont="1" applyFill="1" applyBorder="1" applyAlignment="1"/>
    <xf numFmtId="0" fontId="14" fillId="0" borderId="14" xfId="0" applyFont="1" applyBorder="1"/>
    <xf numFmtId="0" fontId="15" fillId="0" borderId="21" xfId="0" applyFont="1" applyBorder="1"/>
    <xf numFmtId="0" fontId="47" fillId="0" borderId="4" xfId="0" applyFont="1" applyBorder="1" applyAlignment="1"/>
    <xf numFmtId="0" fontId="47" fillId="0" borderId="0" xfId="0" applyFont="1" applyAlignment="1"/>
    <xf numFmtId="0" fontId="14" fillId="0" borderId="7" xfId="0" applyFont="1" applyBorder="1"/>
    <xf numFmtId="0" fontId="47" fillId="0" borderId="8" xfId="0" applyFont="1" applyBorder="1"/>
    <xf numFmtId="0" fontId="47" fillId="0" borderId="8" xfId="0" applyFont="1" applyBorder="1" applyAlignment="1"/>
    <xf numFmtId="0" fontId="47" fillId="0" borderId="2" xfId="0" applyFont="1" applyBorder="1" applyAlignment="1"/>
    <xf numFmtId="0" fontId="16" fillId="0" borderId="7" xfId="0" applyFont="1" applyBorder="1" applyAlignment="1" applyProtection="1">
      <alignment horizontal="left" vertical="top"/>
      <protection locked="0"/>
    </xf>
    <xf numFmtId="0" fontId="17" fillId="0" borderId="18" xfId="0" applyFont="1" applyBorder="1" applyAlignment="1"/>
    <xf numFmtId="0" fontId="14" fillId="9" borderId="17" xfId="0" applyFont="1" applyFill="1" applyBorder="1"/>
    <xf numFmtId="0" fontId="17" fillId="9" borderId="18" xfId="0" applyFont="1" applyFill="1" applyBorder="1" applyAlignment="1"/>
    <xf numFmtId="0" fontId="17" fillId="9" borderId="20" xfId="0" applyFont="1" applyFill="1" applyBorder="1"/>
    <xf numFmtId="0" fontId="17" fillId="0" borderId="19" xfId="0" applyFont="1" applyFill="1" applyBorder="1" applyAlignment="1"/>
    <xf numFmtId="0" fontId="17" fillId="0" borderId="21" xfId="0" applyFont="1" applyFill="1" applyBorder="1"/>
    <xf numFmtId="0" fontId="14" fillId="0" borderId="3" xfId="0" applyFont="1" applyBorder="1"/>
    <xf numFmtId="0" fontId="17" fillId="0" borderId="16" xfId="0" applyFont="1" applyBorder="1" applyAlignment="1"/>
    <xf numFmtId="0" fontId="17" fillId="0" borderId="20" xfId="0" applyFont="1" applyFill="1" applyBorder="1"/>
    <xf numFmtId="0" fontId="17" fillId="5" borderId="18" xfId="0" applyFont="1" applyFill="1" applyBorder="1" applyAlignment="1">
      <alignment wrapText="1"/>
    </xf>
    <xf numFmtId="0" fontId="55" fillId="0" borderId="17" xfId="0" applyFont="1" applyBorder="1"/>
    <xf numFmtId="0" fontId="55" fillId="9" borderId="0" xfId="0" applyFont="1" applyFill="1"/>
    <xf numFmtId="0" fontId="57" fillId="9" borderId="17" xfId="0" applyFont="1" applyFill="1" applyBorder="1"/>
    <xf numFmtId="0" fontId="57" fillId="9" borderId="18" xfId="0" applyFont="1" applyFill="1" applyBorder="1" applyAlignment="1"/>
    <xf numFmtId="0" fontId="57" fillId="9" borderId="20" xfId="0" applyFont="1" applyFill="1" applyBorder="1" applyAlignment="1">
      <alignment wrapText="1"/>
    </xf>
    <xf numFmtId="168" fontId="55" fillId="0" borderId="18" xfId="3" applyNumberFormat="1" applyFont="1" applyFill="1" applyBorder="1"/>
    <xf numFmtId="0" fontId="17" fillId="9" borderId="20" xfId="0" applyFont="1" applyFill="1" applyBorder="1" applyAlignment="1">
      <alignment wrapText="1"/>
    </xf>
    <xf numFmtId="0" fontId="14" fillId="0" borderId="20" xfId="0" applyFont="1" applyFill="1" applyBorder="1"/>
    <xf numFmtId="0" fontId="17" fillId="0" borderId="0" xfId="0" applyFont="1" applyFill="1" applyBorder="1"/>
    <xf numFmtId="0" fontId="17" fillId="0" borderId="20" xfId="0" applyFont="1" applyFill="1" applyBorder="1" applyAlignment="1"/>
    <xf numFmtId="0" fontId="14" fillId="0" borderId="20" xfId="0" applyFont="1" applyBorder="1"/>
    <xf numFmtId="0" fontId="17" fillId="0" borderId="1" xfId="0" applyFont="1" applyFill="1" applyBorder="1"/>
    <xf numFmtId="0" fontId="47" fillId="0" borderId="1" xfId="0" applyFont="1" applyFill="1" applyBorder="1" applyAlignment="1"/>
    <xf numFmtId="0" fontId="47" fillId="0" borderId="0" xfId="0" applyFont="1" applyFill="1" applyAlignment="1"/>
    <xf numFmtId="0" fontId="47" fillId="0" borderId="2" xfId="0" applyFont="1" applyFill="1" applyBorder="1" applyAlignment="1"/>
    <xf numFmtId="0" fontId="47" fillId="0" borderId="16" xfId="0" applyFont="1" applyFill="1" applyBorder="1" applyAlignment="1"/>
    <xf numFmtId="0" fontId="47" fillId="0" borderId="18" xfId="0" applyFont="1" applyFill="1" applyBorder="1" applyAlignment="1"/>
    <xf numFmtId="0" fontId="47" fillId="0" borderId="19" xfId="0" applyFont="1" applyFill="1" applyBorder="1" applyAlignment="1"/>
    <xf numFmtId="0" fontId="47" fillId="0" borderId="21" xfId="0" applyFont="1" applyFill="1" applyBorder="1"/>
    <xf numFmtId="0" fontId="47" fillId="0" borderId="40" xfId="0" applyFont="1" applyBorder="1"/>
    <xf numFmtId="0" fontId="47" fillId="9" borderId="16" xfId="0" applyFont="1" applyFill="1" applyBorder="1" applyAlignment="1"/>
    <xf numFmtId="0" fontId="47" fillId="9" borderId="18" xfId="0" applyFont="1" applyFill="1" applyBorder="1" applyAlignment="1"/>
    <xf numFmtId="0" fontId="47" fillId="9" borderId="14" xfId="0" applyFont="1" applyFill="1" applyBorder="1"/>
    <xf numFmtId="0" fontId="47" fillId="9" borderId="19" xfId="0" applyFont="1" applyFill="1" applyBorder="1" applyAlignment="1"/>
    <xf numFmtId="0" fontId="47" fillId="9" borderId="21" xfId="0" applyFont="1" applyFill="1" applyBorder="1"/>
    <xf numFmtId="0" fontId="47" fillId="0" borderId="19" xfId="0" applyFont="1" applyBorder="1" applyAlignment="1"/>
    <xf numFmtId="9" fontId="15" fillId="0" borderId="0" xfId="3" applyNumberFormat="1" applyFont="1"/>
    <xf numFmtId="168" fontId="55" fillId="0" borderId="0" xfId="3" applyNumberFormat="1" applyFont="1"/>
    <xf numFmtId="168" fontId="55" fillId="0" borderId="0" xfId="3" applyNumberFormat="1" applyFont="1" applyFill="1"/>
    <xf numFmtId="0" fontId="55" fillId="0" borderId="0" xfId="0" applyFont="1"/>
    <xf numFmtId="0" fontId="15" fillId="0" borderId="0" xfId="0" applyFont="1" applyAlignment="1">
      <alignment vertical="center"/>
    </xf>
    <xf numFmtId="168" fontId="60" fillId="0" borderId="0" xfId="3" applyNumberFormat="1" applyFont="1" applyFill="1"/>
    <xf numFmtId="0" fontId="15" fillId="0" borderId="18" xfId="0" applyFont="1" applyFill="1" applyBorder="1"/>
    <xf numFmtId="0" fontId="47" fillId="14" borderId="9" xfId="0" applyFont="1" applyFill="1" applyBorder="1"/>
    <xf numFmtId="0" fontId="15" fillId="11" borderId="0" xfId="0" applyFont="1" applyFill="1"/>
    <xf numFmtId="0" fontId="47" fillId="11" borderId="17" xfId="0" applyFont="1" applyFill="1" applyBorder="1"/>
    <xf numFmtId="0" fontId="47" fillId="8" borderId="14" xfId="0" applyFont="1" applyFill="1" applyBorder="1"/>
    <xf numFmtId="168" fontId="47" fillId="0" borderId="36" xfId="3" applyNumberFormat="1" applyFont="1" applyFill="1" applyBorder="1"/>
    <xf numFmtId="168" fontId="15" fillId="9" borderId="0" xfId="3" applyNumberFormat="1" applyFont="1" applyFill="1" applyBorder="1"/>
    <xf numFmtId="0" fontId="54" fillId="0" borderId="17" xfId="0" applyFont="1" applyFill="1" applyBorder="1" applyAlignment="1" applyProtection="1">
      <alignment horizontal="left" vertical="top"/>
      <protection locked="0"/>
    </xf>
    <xf numFmtId="0" fontId="54" fillId="0" borderId="18" xfId="0" applyFont="1" applyFill="1" applyBorder="1" applyAlignment="1" applyProtection="1">
      <alignment horizontal="left" vertical="top"/>
      <protection locked="0"/>
    </xf>
    <xf numFmtId="0" fontId="54" fillId="0" borderId="0" xfId="0" applyFont="1" applyFill="1" applyBorder="1" applyAlignment="1" applyProtection="1">
      <alignment horizontal="left" vertical="top"/>
      <protection locked="0"/>
    </xf>
    <xf numFmtId="168" fontId="15" fillId="9" borderId="14" xfId="3" applyNumberFormat="1" applyFont="1" applyFill="1" applyBorder="1"/>
    <xf numFmtId="168" fontId="47" fillId="0" borderId="14" xfId="3" applyNumberFormat="1" applyFont="1" applyBorder="1"/>
    <xf numFmtId="0" fontId="47" fillId="0" borderId="7" xfId="0" applyFont="1" applyFill="1" applyBorder="1" applyAlignment="1">
      <alignment wrapText="1"/>
    </xf>
    <xf numFmtId="0" fontId="47" fillId="0" borderId="3" xfId="0" applyFont="1" applyFill="1" applyBorder="1" applyAlignment="1">
      <alignment wrapText="1"/>
    </xf>
    <xf numFmtId="0" fontId="18" fillId="0" borderId="3" xfId="0" applyFont="1" applyFill="1" applyBorder="1"/>
    <xf numFmtId="39" fontId="18" fillId="0" borderId="0" xfId="0" applyNumberFormat="1" applyFont="1" applyFill="1" applyBorder="1"/>
    <xf numFmtId="0" fontId="14" fillId="0" borderId="12" xfId="0" applyFont="1" applyFill="1" applyBorder="1"/>
    <xf numFmtId="0" fontId="47" fillId="0" borderId="19" xfId="0" applyFont="1" applyFill="1" applyBorder="1"/>
    <xf numFmtId="0" fontId="17" fillId="0" borderId="12" xfId="0" applyFont="1" applyFill="1" applyBorder="1" applyAlignment="1">
      <alignment wrapText="1"/>
    </xf>
    <xf numFmtId="0" fontId="18" fillId="0" borderId="12" xfId="0" applyFont="1" applyFill="1" applyBorder="1"/>
    <xf numFmtId="0" fontId="47" fillId="14" borderId="11" xfId="0" applyFont="1" applyFill="1" applyBorder="1" applyAlignment="1">
      <alignment wrapText="1"/>
    </xf>
    <xf numFmtId="168" fontId="56" fillId="14" borderId="46" xfId="3" applyNumberFormat="1" applyFont="1" applyFill="1" applyBorder="1" applyAlignment="1">
      <alignment horizontal="center" vertical="center" wrapText="1"/>
    </xf>
    <xf numFmtId="168" fontId="56" fillId="14" borderId="39" xfId="3" applyNumberFormat="1" applyFont="1" applyFill="1" applyBorder="1" applyAlignment="1">
      <alignment horizontal="center" vertical="center" wrapText="1"/>
    </xf>
    <xf numFmtId="0" fontId="15" fillId="0" borderId="18" xfId="0" applyFont="1" applyBorder="1"/>
    <xf numFmtId="0" fontId="15" fillId="9" borderId="17" xfId="0" applyFont="1" applyFill="1" applyBorder="1"/>
    <xf numFmtId="0" fontId="15" fillId="9" borderId="18" xfId="0" applyFont="1" applyFill="1" applyBorder="1"/>
    <xf numFmtId="0" fontId="15" fillId="9" borderId="0" xfId="0" applyFont="1" applyFill="1" applyBorder="1"/>
    <xf numFmtId="43" fontId="18" fillId="0" borderId="0" xfId="0" applyNumberFormat="1" applyFont="1"/>
    <xf numFmtId="0" fontId="15" fillId="4" borderId="17" xfId="0" applyFont="1" applyFill="1" applyBorder="1"/>
    <xf numFmtId="0" fontId="15" fillId="4" borderId="18" xfId="0" applyFont="1" applyFill="1" applyBorder="1"/>
    <xf numFmtId="0" fontId="15" fillId="4" borderId="0" xfId="0" applyFont="1" applyFill="1" applyBorder="1"/>
    <xf numFmtId="0" fontId="15" fillId="0" borderId="5" xfId="0" applyFont="1" applyBorder="1"/>
    <xf numFmtId="0" fontId="15" fillId="0" borderId="1" xfId="0" applyFont="1" applyBorder="1"/>
    <xf numFmtId="0" fontId="15" fillId="0" borderId="6" xfId="0" applyFont="1" applyBorder="1"/>
    <xf numFmtId="0" fontId="15" fillId="0" borderId="23" xfId="0" applyFont="1" applyBorder="1"/>
    <xf numFmtId="0" fontId="15" fillId="0" borderId="36" xfId="0" applyFont="1" applyBorder="1"/>
    <xf numFmtId="0" fontId="15" fillId="0" borderId="40" xfId="0" applyFont="1" applyBorder="1"/>
    <xf numFmtId="9" fontId="18" fillId="0" borderId="0" xfId="3" applyNumberFormat="1" applyFont="1"/>
    <xf numFmtId="0" fontId="16" fillId="0" borderId="16" xfId="0" applyFont="1" applyBorder="1" applyAlignment="1" applyProtection="1">
      <alignment horizontal="left" vertical="top"/>
      <protection locked="0"/>
    </xf>
    <xf numFmtId="0" fontId="16" fillId="0" borderId="8" xfId="0" applyFont="1" applyBorder="1" applyAlignment="1" applyProtection="1">
      <alignment horizontal="left" vertical="top"/>
      <protection locked="0"/>
    </xf>
    <xf numFmtId="0" fontId="16" fillId="0" borderId="17" xfId="0" applyFont="1" applyFill="1" applyBorder="1" applyAlignment="1" applyProtection="1">
      <alignment horizontal="left" vertical="top"/>
      <protection locked="0"/>
    </xf>
    <xf numFmtId="0" fontId="16" fillId="0" borderId="18" xfId="0" applyFont="1" applyFill="1" applyBorder="1" applyAlignment="1" applyProtection="1">
      <alignment horizontal="left" vertical="top"/>
      <protection locked="0"/>
    </xf>
    <xf numFmtId="0" fontId="16" fillId="0" borderId="20" xfId="0" applyFont="1" applyFill="1" applyBorder="1" applyAlignment="1" applyProtection="1">
      <alignment horizontal="left" vertical="top"/>
      <protection locked="0"/>
    </xf>
    <xf numFmtId="0" fontId="16" fillId="0" borderId="14" xfId="0" applyFont="1" applyFill="1" applyBorder="1" applyAlignment="1" applyProtection="1">
      <alignment horizontal="left" vertical="top"/>
      <protection locked="0"/>
    </xf>
    <xf numFmtId="0" fontId="16" fillId="0" borderId="19" xfId="0" applyFont="1" applyFill="1" applyBorder="1" applyAlignment="1" applyProtection="1">
      <alignment horizontal="left" vertical="top"/>
      <protection locked="0"/>
    </xf>
    <xf numFmtId="0" fontId="16" fillId="0" borderId="21" xfId="0" applyFont="1" applyFill="1" applyBorder="1" applyAlignment="1" applyProtection="1">
      <alignment horizontal="left" vertical="top"/>
      <protection locked="0"/>
    </xf>
    <xf numFmtId="0" fontId="14" fillId="0" borderId="18" xfId="0" applyFont="1" applyBorder="1"/>
    <xf numFmtId="0" fontId="14" fillId="0" borderId="18" xfId="0" applyFont="1" applyFill="1" applyBorder="1"/>
    <xf numFmtId="0" fontId="14" fillId="0" borderId="20" xfId="0" applyFont="1" applyFill="1" applyBorder="1" applyAlignment="1">
      <alignment wrapText="1"/>
    </xf>
    <xf numFmtId="0" fontId="14" fillId="0" borderId="17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5" fillId="0" borderId="20" xfId="0" applyFont="1" applyFill="1" applyBorder="1" applyAlignment="1">
      <alignment wrapText="1"/>
    </xf>
    <xf numFmtId="168" fontId="17" fillId="0" borderId="5" xfId="3" applyNumberFormat="1" applyFont="1" applyBorder="1" applyAlignment="1">
      <alignment horizontal="right"/>
    </xf>
    <xf numFmtId="168" fontId="17" fillId="0" borderId="5" xfId="3" applyNumberFormat="1" applyFont="1" applyFill="1" applyBorder="1" applyAlignment="1">
      <alignment horizontal="right"/>
    </xf>
    <xf numFmtId="168" fontId="17" fillId="0" borderId="7" xfId="3" applyNumberFormat="1" applyFont="1" applyBorder="1" applyAlignment="1">
      <alignment horizontal="right"/>
    </xf>
    <xf numFmtId="168" fontId="17" fillId="0" borderId="3" xfId="3" applyNumberFormat="1" applyFont="1" applyBorder="1" applyAlignment="1">
      <alignment horizontal="right"/>
    </xf>
    <xf numFmtId="168" fontId="14" fillId="0" borderId="20" xfId="3" applyNumberFormat="1" applyFont="1" applyFill="1" applyBorder="1" applyAlignment="1">
      <alignment horizontal="right"/>
    </xf>
    <xf numFmtId="168" fontId="17" fillId="0" borderId="19" xfId="3" applyNumberFormat="1" applyFont="1" applyBorder="1" applyAlignment="1">
      <alignment horizontal="right"/>
    </xf>
    <xf numFmtId="0" fontId="15" fillId="0" borderId="2" xfId="0" applyFont="1" applyBorder="1"/>
    <xf numFmtId="0" fontId="16" fillId="0" borderId="18" xfId="0" applyFont="1" applyBorder="1" applyAlignment="1" applyProtection="1">
      <alignment horizontal="left" vertical="top"/>
      <protection locked="0"/>
    </xf>
    <xf numFmtId="0" fontId="16" fillId="0" borderId="20" xfId="0" applyFont="1" applyBorder="1" applyAlignment="1" applyProtection="1">
      <alignment horizontal="left" vertical="top"/>
      <protection locked="0"/>
    </xf>
    <xf numFmtId="0" fontId="14" fillId="0" borderId="16" xfId="0" applyFont="1" applyBorder="1"/>
    <xf numFmtId="0" fontId="14" fillId="0" borderId="19" xfId="0" applyFont="1" applyBorder="1"/>
    <xf numFmtId="0" fontId="15" fillId="0" borderId="19" xfId="0" applyFont="1" applyBorder="1"/>
    <xf numFmtId="0" fontId="15" fillId="0" borderId="1" xfId="0" applyFont="1" applyFill="1" applyBorder="1"/>
    <xf numFmtId="0" fontId="17" fillId="0" borderId="0" xfId="0" applyFont="1" applyAlignment="1">
      <alignment horizontal="right"/>
    </xf>
    <xf numFmtId="4" fontId="17" fillId="0" borderId="0" xfId="0" applyNumberFormat="1" applyFont="1" applyAlignment="1">
      <alignment horizontal="right"/>
    </xf>
    <xf numFmtId="168" fontId="12" fillId="0" borderId="17" xfId="3" applyNumberFormat="1" applyFont="1" applyFill="1" applyBorder="1"/>
    <xf numFmtId="168" fontId="17" fillId="0" borderId="8" xfId="3" applyNumberFormat="1" applyFont="1" applyFill="1" applyBorder="1" applyAlignment="1">
      <alignment horizontal="right"/>
    </xf>
    <xf numFmtId="168" fontId="17" fillId="0" borderId="20" xfId="3" applyNumberFormat="1" applyFont="1" applyFill="1" applyBorder="1" applyAlignment="1">
      <alignment horizontal="right"/>
    </xf>
    <xf numFmtId="168" fontId="17" fillId="0" borderId="14" xfId="3" applyNumberFormat="1" applyFont="1" applyBorder="1" applyAlignment="1">
      <alignment horizontal="right"/>
    </xf>
    <xf numFmtId="168" fontId="17" fillId="0" borderId="12" xfId="3" applyNumberFormat="1" applyFont="1" applyBorder="1" applyAlignment="1">
      <alignment horizontal="right"/>
    </xf>
    <xf numFmtId="168" fontId="14" fillId="0" borderId="21" xfId="3" applyNumberFormat="1" applyFont="1" applyFill="1" applyBorder="1" applyAlignment="1">
      <alignment horizontal="right"/>
    </xf>
    <xf numFmtId="168" fontId="17" fillId="0" borderId="19" xfId="3" applyNumberFormat="1" applyFont="1" applyFill="1" applyBorder="1" applyAlignment="1">
      <alignment horizontal="right"/>
    </xf>
    <xf numFmtId="168" fontId="17" fillId="0" borderId="21" xfId="3" applyNumberFormat="1" applyFont="1" applyFill="1" applyBorder="1" applyAlignment="1">
      <alignment horizontal="right"/>
    </xf>
    <xf numFmtId="168" fontId="14" fillId="0" borderId="7" xfId="3" applyNumberFormat="1" applyFont="1" applyBorder="1" applyAlignment="1">
      <alignment horizontal="right"/>
    </xf>
    <xf numFmtId="168" fontId="14" fillId="0" borderId="16" xfId="3" applyNumberFormat="1" applyFont="1" applyBorder="1" applyAlignment="1">
      <alignment horizontal="right"/>
    </xf>
    <xf numFmtId="168" fontId="14" fillId="0" borderId="17" xfId="3" applyNumberFormat="1" applyFont="1" applyBorder="1" applyAlignment="1">
      <alignment horizontal="right"/>
    </xf>
    <xf numFmtId="168" fontId="14" fillId="0" borderId="18" xfId="3" applyNumberFormat="1" applyFont="1" applyBorder="1" applyAlignment="1">
      <alignment horizontal="right"/>
    </xf>
    <xf numFmtId="168" fontId="14" fillId="0" borderId="19" xfId="3" applyNumberFormat="1" applyFont="1" applyBorder="1" applyAlignment="1">
      <alignment horizontal="right"/>
    </xf>
    <xf numFmtId="168" fontId="54" fillId="0" borderId="16" xfId="3" applyNumberFormat="1" applyFont="1" applyFill="1" applyBorder="1"/>
    <xf numFmtId="168" fontId="16" fillId="0" borderId="41" xfId="3" applyNumberFormat="1" applyFont="1" applyFill="1" applyBorder="1"/>
    <xf numFmtId="0" fontId="14" fillId="0" borderId="12" xfId="0" applyFont="1" applyBorder="1"/>
    <xf numFmtId="0" fontId="28" fillId="0" borderId="0" xfId="7" applyFont="1" applyAlignment="1">
      <alignment horizontal="center" wrapText="1"/>
    </xf>
    <xf numFmtId="0" fontId="54" fillId="0" borderId="0" xfId="4" applyFont="1" applyAlignment="1">
      <alignment horizontal="center"/>
    </xf>
    <xf numFmtId="0" fontId="19" fillId="17" borderId="5" xfId="0" applyFont="1" applyFill="1" applyBorder="1" applyAlignment="1">
      <alignment horizontal="center"/>
    </xf>
    <xf numFmtId="0" fontId="19" fillId="17" borderId="6" xfId="0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47" fillId="0" borderId="12" xfId="0" applyFont="1" applyFill="1" applyBorder="1" applyAlignment="1">
      <alignment horizontal="center"/>
    </xf>
  </cellXfs>
  <cellStyles count="14">
    <cellStyle name="Changes" xfId="12" xr:uid="{CC810E23-A6EE-4C59-B048-C11C00BD30E3}"/>
    <cellStyle name="Comma" xfId="3" builtinId="3"/>
    <cellStyle name="Comma 2" xfId="2" xr:uid="{8CAAEA4B-BD44-4F3B-8E00-C08A51772126}"/>
    <cellStyle name="Comma 2 2" xfId="10" xr:uid="{3F43222C-B5CF-4FD8-94DE-F47E6A19D039}"/>
    <cellStyle name="Comma 3" xfId="13" xr:uid="{29D641F9-6048-4F11-9264-42FCB6AA1338}"/>
    <cellStyle name="Comma 4" xfId="11" xr:uid="{7074F625-5ACA-41F7-958C-90799EFB437A}"/>
    <cellStyle name="Comma 6" xfId="6" xr:uid="{3F4232FB-EA89-402D-BFF5-494CF0C0E786}"/>
    <cellStyle name="Comma 6 2" xfId="8" xr:uid="{971A6A0A-CAC7-4634-99F5-C05E87569480}"/>
    <cellStyle name="Normal" xfId="0" builtinId="0"/>
    <cellStyle name="Normal 2" xfId="1" xr:uid="{50C0E35F-7A32-4227-9C0A-4B5E8AA85E9F}"/>
    <cellStyle name="Normal 2 2" xfId="9" xr:uid="{99BB1244-6E9E-452E-8ABC-3D6774D34723}"/>
    <cellStyle name="Normal 3" xfId="4" xr:uid="{144A04AC-AB4D-4B41-AFE2-B6862A869428}"/>
    <cellStyle name="Normal 4" xfId="7" xr:uid="{DDC3A901-E4AE-451E-B553-F6133DC674E4}"/>
    <cellStyle name="Normal 5" xfId="5" xr:uid="{9284FBE2-2F9B-47BC-8186-1876391DB6D6}"/>
  </cellStyles>
  <dxfs count="0"/>
  <tableStyles count="0" defaultTableStyle="TableStyleMedium9" defaultPivotStyle="PivotStyleLight16"/>
  <colors>
    <mruColors>
      <color rgb="FF000008"/>
      <color rgb="FF000000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0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worksheet" Target="worksheets/sheet19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externalLink" Target="externalLinks/externalLink2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4.xml"/><Relationship Id="rId23" Type="http://schemas.openxmlformats.org/officeDocument/2006/relationships/externalLink" Target="externalLinks/externalLink1.xml"/><Relationship Id="rId28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worksheet" Target="worksheets/sheet18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worksheet" Target="worksheets/sheet2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Operating Expenditure 2019/20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87AF-46B9-B82A-3DA45098F8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87AF-46B9-B82A-3DA45098F8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87AF-46B9-B82A-3DA45098F8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87AF-46B9-B82A-3DA45098F8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87AF-46B9-B82A-3DA45098F83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87AF-46B9-B82A-3DA45098F83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87AF-46B9-B82A-3DA45098F83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87AF-46B9-B82A-3DA45098F83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7AF-46B9-B82A-3DA45098F83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7AF-46B9-B82A-3DA45098F83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7AF-46B9-B82A-3DA45098F83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7AF-46B9-B82A-3DA45098F83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7AF-46B9-B82A-3DA45098F83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7AF-46B9-B82A-3DA45098F83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7AF-46B9-B82A-3DA45098F83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87AF-46B9-B82A-3DA45098F83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Wkg'!$A$2:$A$9</c:f>
              <c:strCache>
                <c:ptCount val="8"/>
                <c:pt idx="0">
                  <c:v>Operating Expenditure</c:v>
                </c:pt>
                <c:pt idx="1">
                  <c:v>Salaries and Wages</c:v>
                </c:pt>
                <c:pt idx="2">
                  <c:v>Cllrs Remuneration</c:v>
                </c:pt>
                <c:pt idx="3">
                  <c:v>General Expenditure</c:v>
                </c:pt>
                <c:pt idx="4">
                  <c:v>Depreciation</c:v>
                </c:pt>
                <c:pt idx="5">
                  <c:v>CETA</c:v>
                </c:pt>
                <c:pt idx="6">
                  <c:v>Services-in-kind</c:v>
                </c:pt>
                <c:pt idx="7">
                  <c:v>Conditional Grant</c:v>
                </c:pt>
              </c:strCache>
            </c:strRef>
          </c:cat>
          <c:val>
            <c:numRef>
              <c:f>'Chart Wkg'!$B$2:$B$9</c:f>
              <c:numCache>
                <c:formatCode>0%</c:formatCode>
                <c:ptCount val="8"/>
                <c:pt idx="1">
                  <c:v>0.38</c:v>
                </c:pt>
                <c:pt idx="2">
                  <c:v>0.06</c:v>
                </c:pt>
                <c:pt idx="3">
                  <c:v>0.17</c:v>
                </c:pt>
                <c:pt idx="4">
                  <c:v>0.02</c:v>
                </c:pt>
                <c:pt idx="5">
                  <c:v>0.19</c:v>
                </c:pt>
                <c:pt idx="6">
                  <c:v>0.1</c:v>
                </c:pt>
                <c:pt idx="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AF-46B9-B82A-3DA45098F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Operating Expenditure 2019/20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9B5-4B7C-8C39-3D4FB9989292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9B5-4B7C-8C39-3D4FB9989292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9B5-4B7C-8C39-3D4FB9989292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9B5-4B7C-8C39-3D4FB9989292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9B5-4B7C-8C39-3D4FB9989292}"/>
              </c:ext>
            </c:extLst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9B5-4B7C-8C39-3D4FB998929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9B5-4B7C-8C39-3D4FB998929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9B5-4B7C-8C39-3D4FB9989292}"/>
              </c:ext>
            </c:extLst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9B5-4B7C-8C39-3D4FB9989292}"/>
                </c:ext>
              </c:extLst>
            </c:dLbl>
            <c:dLbl>
              <c:idx val="1"/>
              <c:layout>
                <c:manualLayout>
                  <c:x val="-5.3106330736481598E-2"/>
                  <c:y val="-3.921624793267939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B5-4B7C-8C39-3D4FB9989292}"/>
                </c:ext>
              </c:extLst>
            </c:dLbl>
            <c:dLbl>
              <c:idx val="2"/>
              <c:layout>
                <c:manualLayout>
                  <c:x val="-1.881536038504428E-3"/>
                  <c:y val="-4.31259547338515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B5-4B7C-8C39-3D4FB9989292}"/>
                </c:ext>
              </c:extLst>
            </c:dLbl>
            <c:dLbl>
              <c:idx val="3"/>
              <c:layout>
                <c:manualLayout>
                  <c:x val="5.8143080085991179E-2"/>
                  <c:y val="-0.21696781103546628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88598696336946"/>
                      <c:h val="7.51009124212572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89B5-4B7C-8C39-3D4FB9989292}"/>
                </c:ext>
              </c:extLst>
            </c:dLbl>
            <c:dLbl>
              <c:idx val="4"/>
              <c:layout>
                <c:manualLayout>
                  <c:x val="-1.3933090509164373E-2"/>
                  <c:y val="-7.596019247594051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B5-4B7C-8C39-3D4FB9989292}"/>
                </c:ext>
              </c:extLst>
            </c:dLbl>
            <c:dLbl>
              <c:idx val="5"/>
              <c:layout>
                <c:manualLayout>
                  <c:x val="-6.999201496798324E-2"/>
                  <c:y val="-6.9882327209098857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B5-4B7C-8C39-3D4FB9989292}"/>
                </c:ext>
              </c:extLst>
            </c:dLbl>
            <c:dLbl>
              <c:idx val="6"/>
              <c:layout>
                <c:manualLayout>
                  <c:x val="-5.904061780293305E-2"/>
                  <c:y val="6.284953484251264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B5-4B7C-8C39-3D4FB9989292}"/>
                </c:ext>
              </c:extLst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89B5-4B7C-8C39-3D4FB9989292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4F81BD"/>
                </a:solidFill>
                <a:round/>
              </a:ln>
              <a:effectLst>
                <a:outerShdw blurRad="50800" dist="38100" dir="2700000" algn="tl" rotWithShape="0">
                  <a:srgbClr val="4F81BD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'Chart Wkg'!$A$2:$A$9</c:f>
              <c:strCache>
                <c:ptCount val="8"/>
                <c:pt idx="0">
                  <c:v>Operating Expenditure</c:v>
                </c:pt>
                <c:pt idx="1">
                  <c:v>Salaries and Wages</c:v>
                </c:pt>
                <c:pt idx="2">
                  <c:v>Cllrs Remuneration</c:v>
                </c:pt>
                <c:pt idx="3">
                  <c:v>General Expenditure</c:v>
                </c:pt>
                <c:pt idx="4">
                  <c:v>Depreciation</c:v>
                </c:pt>
                <c:pt idx="5">
                  <c:v>CETA</c:v>
                </c:pt>
                <c:pt idx="6">
                  <c:v>Services-in-kind</c:v>
                </c:pt>
                <c:pt idx="7">
                  <c:v>Conditional Grant</c:v>
                </c:pt>
              </c:strCache>
            </c:strRef>
          </c:cat>
          <c:val>
            <c:numRef>
              <c:f>'Chart Wkg'!$B$2:$B$9</c:f>
              <c:numCache>
                <c:formatCode>0%</c:formatCode>
                <c:ptCount val="8"/>
                <c:pt idx="1">
                  <c:v>0.38</c:v>
                </c:pt>
                <c:pt idx="2">
                  <c:v>0.06</c:v>
                </c:pt>
                <c:pt idx="3">
                  <c:v>0.17</c:v>
                </c:pt>
                <c:pt idx="4">
                  <c:v>0.02</c:v>
                </c:pt>
                <c:pt idx="5">
                  <c:v>0.19</c:v>
                </c:pt>
                <c:pt idx="6">
                  <c:v>0.1</c:v>
                </c:pt>
                <c:pt idx="7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5-4B7C-8C39-3D4FB998929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Operating</a:t>
            </a:r>
            <a:r>
              <a:rPr lang="en-US" baseline="0"/>
              <a:t> Expenditure 2022/23</a:t>
            </a:r>
          </a:p>
          <a:p>
            <a:pPr>
              <a:defRPr/>
            </a:pP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6-4B22-BA09-E5B8C0DED6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6-4B22-BA09-E5B8C0DED6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F54-43B0-A49C-B3B4A8E99F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F54-43B0-A49C-B3B4A8E99F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F54-43B0-A49C-B3B4A8E99F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F54-43B0-A49C-B3B4A8E99F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446-4B22-BA09-E5B8C0DED6D3}"/>
              </c:ext>
            </c:extLst>
          </c:dPt>
          <c:dLbls>
            <c:dLbl>
              <c:idx val="2"/>
              <c:layout>
                <c:manualLayout>
                  <c:x val="1.6946319210098737E-3"/>
                  <c:y val="4.517410643596424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54-43B0-A49C-B3B4A8E99F62}"/>
                </c:ext>
              </c:extLst>
            </c:dLbl>
            <c:dLbl>
              <c:idx val="3"/>
              <c:layout>
                <c:manualLayout>
                  <c:x val="-2.7324162604674417E-2"/>
                  <c:y val="3.901932276746942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54-43B0-A49C-B3B4A8E99F62}"/>
                </c:ext>
              </c:extLst>
            </c:dLbl>
            <c:dLbl>
              <c:idx val="4"/>
              <c:layout>
                <c:manualLayout>
                  <c:x val="-3.1757749031371081E-2"/>
                  <c:y val="-2.19474393854333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54-43B0-A49C-B3B4A8E99F62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Sheet5!$A$3:$A$9</c:f>
              <c:strCache>
                <c:ptCount val="7"/>
                <c:pt idx="0">
                  <c:v>Salaries &amp; Wages</c:v>
                </c:pt>
                <c:pt idx="1">
                  <c:v>Clrs Remuneration</c:v>
                </c:pt>
                <c:pt idx="2">
                  <c:v>Services-in-kind</c:v>
                </c:pt>
                <c:pt idx="3">
                  <c:v>Depreciation</c:v>
                </c:pt>
                <c:pt idx="4">
                  <c:v>Repairs &amp; Maintenance</c:v>
                </c:pt>
                <c:pt idx="5">
                  <c:v>Conditional Grants</c:v>
                </c:pt>
                <c:pt idx="6">
                  <c:v>General Expenditure</c:v>
                </c:pt>
              </c:strCache>
            </c:strRef>
          </c:cat>
          <c:val>
            <c:numRef>
              <c:f>Sheet5!$B$3:$B$9</c:f>
              <c:numCache>
                <c:formatCode>0.00%</c:formatCode>
                <c:ptCount val="7"/>
                <c:pt idx="0">
                  <c:v>0.58733176052765967</c:v>
                </c:pt>
                <c:pt idx="1">
                  <c:v>5.2211354788376886E-2</c:v>
                </c:pt>
                <c:pt idx="2">
                  <c:v>3.164247205861747E-2</c:v>
                </c:pt>
                <c:pt idx="3">
                  <c:v>2.3621632901527297E-2</c:v>
                </c:pt>
                <c:pt idx="4">
                  <c:v>1.3960183902335587E-2</c:v>
                </c:pt>
                <c:pt idx="5">
                  <c:v>0.11143761708086687</c:v>
                </c:pt>
                <c:pt idx="6">
                  <c:v>0.17979497874061637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4-43B0-A49C-B3B4A8E99F6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1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90C0057-65A8-4A95-BEE3-D6D674C02EAF}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2</xdr:col>
      <xdr:colOff>742950</xdr:colOff>
      <xdr:row>5</xdr:row>
      <xdr:rowOff>133350</xdr:rowOff>
    </xdr:to>
    <xdr:pic>
      <xdr:nvPicPr>
        <xdr:cNvPr id="2" name="Picture 1" descr="fintmb">
          <a:extLst>
            <a:ext uri="{FF2B5EF4-FFF2-40B4-BE49-F238E27FC236}">
              <a16:creationId xmlns:a16="http://schemas.microsoft.com/office/drawing/2014/main" id="{13996C50-E2EC-4B9B-B909-FCC474589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19" t="42389" r="13028" b="23314"/>
        <a:stretch>
          <a:fillRect/>
        </a:stretch>
      </xdr:blipFill>
      <xdr:spPr bwMode="auto">
        <a:xfrm>
          <a:off x="142875" y="0"/>
          <a:ext cx="450532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7</xdr:row>
      <xdr:rowOff>67258</xdr:rowOff>
    </xdr:to>
    <xdr:pic>
      <xdr:nvPicPr>
        <xdr:cNvPr id="2" name="Picture 1" descr="fintmb">
          <a:extLst>
            <a:ext uri="{FF2B5EF4-FFF2-40B4-BE49-F238E27FC236}">
              <a16:creationId xmlns:a16="http://schemas.microsoft.com/office/drawing/2014/main" id="{D385D3A2-C6F6-43B8-85F0-920AE868E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19" t="42389" r="13028" b="23314"/>
        <a:stretch>
          <a:fillRect/>
        </a:stretch>
      </xdr:blipFill>
      <xdr:spPr bwMode="auto">
        <a:xfrm>
          <a:off x="0" y="0"/>
          <a:ext cx="1828800" cy="1400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4224C4-FC6B-4445-A875-D35933BDB8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174811</xdr:colOff>
      <xdr:row>2</xdr:row>
      <xdr:rowOff>107575</xdr:rowOff>
    </xdr:from>
    <xdr:to>
      <xdr:col>18</xdr:col>
      <xdr:colOff>192741</xdr:colOff>
      <xdr:row>30</xdr:row>
      <xdr:rowOff>62752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7C715A-09B5-4818-8373-34FB7EEB8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945728</xdr:colOff>
      <xdr:row>0</xdr:row>
      <xdr:rowOff>54614</xdr:rowOff>
    </xdr:from>
    <xdr:to>
      <xdr:col>10</xdr:col>
      <xdr:colOff>183696</xdr:colOff>
      <xdr:row>6</xdr:row>
      <xdr:rowOff>583766</xdr:rowOff>
    </xdr:to>
    <xdr:pic>
      <xdr:nvPicPr>
        <xdr:cNvPr id="2" name="Picture 1" descr="fintmb">
          <a:extLst>
            <a:ext uri="{FF2B5EF4-FFF2-40B4-BE49-F238E27FC236}">
              <a16:creationId xmlns:a16="http://schemas.microsoft.com/office/drawing/2014/main" id="{FCA2E3B3-FD31-4E58-858F-E2C1055A33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19" t="42389" r="13028" b="23314"/>
        <a:stretch>
          <a:fillRect/>
        </a:stretch>
      </xdr:blipFill>
      <xdr:spPr bwMode="auto">
        <a:xfrm>
          <a:off x="945728" y="54614"/>
          <a:ext cx="10797236" cy="11258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270510</xdr:colOff>
      <xdr:row>4</xdr:row>
      <xdr:rowOff>118110</xdr:rowOff>
    </xdr:from>
    <xdr:to>
      <xdr:col>16</xdr:col>
      <xdr:colOff>270510</xdr:colOff>
      <xdr:row>27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E93D7E-A898-4D1C-8C16-F0B7C5F32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19%20Draft%20budget/Final%20201819/DC19%20201819%20Draft%20budget_Management%2031%20May%202018%20working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%20Adjustment%20budget/Draft%20MTREF%20Budget%202017-18%20(Final%20Draft%20for%20Council)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ed General Ledger Income"/>
      <sheetName val="Summary per dept"/>
      <sheetName val="Inputs Form "/>
      <sheetName val="Summary per Dept (2)"/>
      <sheetName val="Summary per dept (3)"/>
      <sheetName val="Departmental Summary"/>
      <sheetName val="Summary per dept (4)"/>
      <sheetName val="Spearker"/>
      <sheetName val="Chief Whiep"/>
      <sheetName val="Mayco and Council"/>
      <sheetName val="Executive Mayor"/>
      <sheetName val="Executive Mayor (2)"/>
      <sheetName val="Municipal Manager"/>
      <sheetName val="Municipal Manager (2)"/>
      <sheetName val="Governance (2)"/>
      <sheetName val="Governance"/>
      <sheetName val="LED (2)"/>
      <sheetName val="LED"/>
      <sheetName val="Finance (2)"/>
      <sheetName val="Finance"/>
      <sheetName val="Corporate Services (2)"/>
      <sheetName val="Corporate Services"/>
      <sheetName val="Community Services"/>
      <sheetName val="Infrastructure (2)"/>
      <sheetName val="Infrastructure"/>
      <sheetName val="Agriculture (3)"/>
      <sheetName val="Agricul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7">
          <cell r="J37">
            <v>0</v>
          </cell>
        </row>
      </sheetData>
      <sheetData sheetId="19"/>
      <sheetData sheetId="20"/>
      <sheetData sheetId="21"/>
      <sheetData sheetId="22">
        <row r="32">
          <cell r="J32">
            <v>0</v>
          </cell>
        </row>
      </sheetData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DM SUMMARY (mSCOA)"/>
      <sheetName val="TMDM SUMMARY"/>
      <sheetName val="Summary per Dept"/>
      <sheetName val="Sheet1"/>
      <sheetName val="Budgeted Input"/>
      <sheetName val="Inputs Form "/>
      <sheetName val="Contracted Services"/>
      <sheetName val="REVENUE"/>
      <sheetName val="SALARIES 2017"/>
      <sheetName val="Sheet4"/>
      <sheetName val="Spearker"/>
      <sheetName val="Chief Whip"/>
      <sheetName val="Mayco"/>
      <sheetName val="Executive mayor"/>
      <sheetName val="Municipal Manager"/>
      <sheetName val="Finance"/>
      <sheetName val="Corporate services"/>
      <sheetName val="Community Services"/>
      <sheetName val="Governance"/>
      <sheetName val="LED"/>
      <sheetName val="agriculture"/>
      <sheetName val="Infrastruct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5">
          <cell r="K25">
            <v>7681397.5565600004</v>
          </cell>
        </row>
        <row r="34">
          <cell r="K34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9CDA-A92A-4D5C-837E-8D000DB84B71}">
  <sheetPr>
    <tabColor rgb="FF92D050"/>
  </sheetPr>
  <dimension ref="A1:P61"/>
  <sheetViews>
    <sheetView view="pageBreakPreview" zoomScale="80" zoomScaleNormal="100" zoomScaleSheetLayoutView="80" workbookViewId="0">
      <pane ySplit="2" topLeftCell="A30" activePane="bottomLeft" state="frozen"/>
      <selection pane="bottomLeft" activeCell="C47" sqref="C47"/>
    </sheetView>
  </sheetViews>
  <sheetFormatPr defaultRowHeight="12.75" x14ac:dyDescent="0.2"/>
  <cols>
    <col min="1" max="1" width="33" style="80" customWidth="1"/>
    <col min="2" max="13" width="13.5703125" style="80" customWidth="1"/>
    <col min="14" max="14" width="12.5703125" style="80" customWidth="1"/>
    <col min="15" max="15" width="13" style="80" bestFit="1" customWidth="1"/>
    <col min="16" max="16" width="11.28515625" style="80" bestFit="1" customWidth="1"/>
    <col min="17" max="17" width="13.28515625" style="80" customWidth="1"/>
    <col min="18" max="243" width="9.140625" style="80"/>
    <col min="244" max="244" width="19.5703125" style="80" customWidth="1"/>
    <col min="245" max="257" width="4.5703125" style="80" customWidth="1"/>
    <col min="258" max="258" width="33" style="80" customWidth="1"/>
    <col min="259" max="269" width="13.5703125" style="80" customWidth="1"/>
    <col min="270" max="270" width="12.5703125" style="80" customWidth="1"/>
    <col min="271" max="271" width="12.85546875" style="80" bestFit="1" customWidth="1"/>
    <col min="272" max="499" width="9.140625" style="80"/>
    <col min="500" max="500" width="19.5703125" style="80" customWidth="1"/>
    <col min="501" max="513" width="4.5703125" style="80" customWidth="1"/>
    <col min="514" max="514" width="33" style="80" customWidth="1"/>
    <col min="515" max="525" width="13.5703125" style="80" customWidth="1"/>
    <col min="526" max="526" width="12.5703125" style="80" customWidth="1"/>
    <col min="527" max="527" width="12.85546875" style="80" bestFit="1" customWidth="1"/>
    <col min="528" max="755" width="9.140625" style="80"/>
    <col min="756" max="756" width="19.5703125" style="80" customWidth="1"/>
    <col min="757" max="769" width="4.5703125" style="80" customWidth="1"/>
    <col min="770" max="770" width="33" style="80" customWidth="1"/>
    <col min="771" max="781" width="13.5703125" style="80" customWidth="1"/>
    <col min="782" max="782" width="12.5703125" style="80" customWidth="1"/>
    <col min="783" max="783" width="12.85546875" style="80" bestFit="1" customWidth="1"/>
    <col min="784" max="1011" width="9.140625" style="80"/>
    <col min="1012" max="1012" width="19.5703125" style="80" customWidth="1"/>
    <col min="1013" max="1025" width="4.5703125" style="80" customWidth="1"/>
    <col min="1026" max="1026" width="33" style="80" customWidth="1"/>
    <col min="1027" max="1037" width="13.5703125" style="80" customWidth="1"/>
    <col min="1038" max="1038" width="12.5703125" style="80" customWidth="1"/>
    <col min="1039" max="1039" width="12.85546875" style="80" bestFit="1" customWidth="1"/>
    <col min="1040" max="1267" width="9.140625" style="80"/>
    <col min="1268" max="1268" width="19.5703125" style="80" customWidth="1"/>
    <col min="1269" max="1281" width="4.5703125" style="80" customWidth="1"/>
    <col min="1282" max="1282" width="33" style="80" customWidth="1"/>
    <col min="1283" max="1293" width="13.5703125" style="80" customWidth="1"/>
    <col min="1294" max="1294" width="12.5703125" style="80" customWidth="1"/>
    <col min="1295" max="1295" width="12.85546875" style="80" bestFit="1" customWidth="1"/>
    <col min="1296" max="1523" width="9.140625" style="80"/>
    <col min="1524" max="1524" width="19.5703125" style="80" customWidth="1"/>
    <col min="1525" max="1537" width="4.5703125" style="80" customWidth="1"/>
    <col min="1538" max="1538" width="33" style="80" customWidth="1"/>
    <col min="1539" max="1549" width="13.5703125" style="80" customWidth="1"/>
    <col min="1550" max="1550" width="12.5703125" style="80" customWidth="1"/>
    <col min="1551" max="1551" width="12.85546875" style="80" bestFit="1" customWidth="1"/>
    <col min="1552" max="1779" width="9.140625" style="80"/>
    <col min="1780" max="1780" width="19.5703125" style="80" customWidth="1"/>
    <col min="1781" max="1793" width="4.5703125" style="80" customWidth="1"/>
    <col min="1794" max="1794" width="33" style="80" customWidth="1"/>
    <col min="1795" max="1805" width="13.5703125" style="80" customWidth="1"/>
    <col min="1806" max="1806" width="12.5703125" style="80" customWidth="1"/>
    <col min="1807" max="1807" width="12.85546875" style="80" bestFit="1" customWidth="1"/>
    <col min="1808" max="2035" width="9.140625" style="80"/>
    <col min="2036" max="2036" width="19.5703125" style="80" customWidth="1"/>
    <col min="2037" max="2049" width="4.5703125" style="80" customWidth="1"/>
    <col min="2050" max="2050" width="33" style="80" customWidth="1"/>
    <col min="2051" max="2061" width="13.5703125" style="80" customWidth="1"/>
    <col min="2062" max="2062" width="12.5703125" style="80" customWidth="1"/>
    <col min="2063" max="2063" width="12.85546875" style="80" bestFit="1" customWidth="1"/>
    <col min="2064" max="2291" width="9.140625" style="80"/>
    <col min="2292" max="2292" width="19.5703125" style="80" customWidth="1"/>
    <col min="2293" max="2305" width="4.5703125" style="80" customWidth="1"/>
    <col min="2306" max="2306" width="33" style="80" customWidth="1"/>
    <col min="2307" max="2317" width="13.5703125" style="80" customWidth="1"/>
    <col min="2318" max="2318" width="12.5703125" style="80" customWidth="1"/>
    <col min="2319" max="2319" width="12.85546875" style="80" bestFit="1" customWidth="1"/>
    <col min="2320" max="2547" width="9.140625" style="80"/>
    <col min="2548" max="2548" width="19.5703125" style="80" customWidth="1"/>
    <col min="2549" max="2561" width="4.5703125" style="80" customWidth="1"/>
    <col min="2562" max="2562" width="33" style="80" customWidth="1"/>
    <col min="2563" max="2573" width="13.5703125" style="80" customWidth="1"/>
    <col min="2574" max="2574" width="12.5703125" style="80" customWidth="1"/>
    <col min="2575" max="2575" width="12.85546875" style="80" bestFit="1" customWidth="1"/>
    <col min="2576" max="2803" width="9.140625" style="80"/>
    <col min="2804" max="2804" width="19.5703125" style="80" customWidth="1"/>
    <col min="2805" max="2817" width="4.5703125" style="80" customWidth="1"/>
    <col min="2818" max="2818" width="33" style="80" customWidth="1"/>
    <col min="2819" max="2829" width="13.5703125" style="80" customWidth="1"/>
    <col min="2830" max="2830" width="12.5703125" style="80" customWidth="1"/>
    <col min="2831" max="2831" width="12.85546875" style="80" bestFit="1" customWidth="1"/>
    <col min="2832" max="3059" width="9.140625" style="80"/>
    <col min="3060" max="3060" width="19.5703125" style="80" customWidth="1"/>
    <col min="3061" max="3073" width="4.5703125" style="80" customWidth="1"/>
    <col min="3074" max="3074" width="33" style="80" customWidth="1"/>
    <col min="3075" max="3085" width="13.5703125" style="80" customWidth="1"/>
    <col min="3086" max="3086" width="12.5703125" style="80" customWidth="1"/>
    <col min="3087" max="3087" width="12.85546875" style="80" bestFit="1" customWidth="1"/>
    <col min="3088" max="3315" width="9.140625" style="80"/>
    <col min="3316" max="3316" width="19.5703125" style="80" customWidth="1"/>
    <col min="3317" max="3329" width="4.5703125" style="80" customWidth="1"/>
    <col min="3330" max="3330" width="33" style="80" customWidth="1"/>
    <col min="3331" max="3341" width="13.5703125" style="80" customWidth="1"/>
    <col min="3342" max="3342" width="12.5703125" style="80" customWidth="1"/>
    <col min="3343" max="3343" width="12.85546875" style="80" bestFit="1" customWidth="1"/>
    <col min="3344" max="3571" width="9.140625" style="80"/>
    <col min="3572" max="3572" width="19.5703125" style="80" customWidth="1"/>
    <col min="3573" max="3585" width="4.5703125" style="80" customWidth="1"/>
    <col min="3586" max="3586" width="33" style="80" customWidth="1"/>
    <col min="3587" max="3597" width="13.5703125" style="80" customWidth="1"/>
    <col min="3598" max="3598" width="12.5703125" style="80" customWidth="1"/>
    <col min="3599" max="3599" width="12.85546875" style="80" bestFit="1" customWidth="1"/>
    <col min="3600" max="3827" width="9.140625" style="80"/>
    <col min="3828" max="3828" width="19.5703125" style="80" customWidth="1"/>
    <col min="3829" max="3841" width="4.5703125" style="80" customWidth="1"/>
    <col min="3842" max="3842" width="33" style="80" customWidth="1"/>
    <col min="3843" max="3853" width="13.5703125" style="80" customWidth="1"/>
    <col min="3854" max="3854" width="12.5703125" style="80" customWidth="1"/>
    <col min="3855" max="3855" width="12.85546875" style="80" bestFit="1" customWidth="1"/>
    <col min="3856" max="4083" width="9.140625" style="80"/>
    <col min="4084" max="4084" width="19.5703125" style="80" customWidth="1"/>
    <col min="4085" max="4097" width="4.5703125" style="80" customWidth="1"/>
    <col min="4098" max="4098" width="33" style="80" customWidth="1"/>
    <col min="4099" max="4109" width="13.5703125" style="80" customWidth="1"/>
    <col min="4110" max="4110" width="12.5703125" style="80" customWidth="1"/>
    <col min="4111" max="4111" width="12.85546875" style="80" bestFit="1" customWidth="1"/>
    <col min="4112" max="4339" width="9.140625" style="80"/>
    <col min="4340" max="4340" width="19.5703125" style="80" customWidth="1"/>
    <col min="4341" max="4353" width="4.5703125" style="80" customWidth="1"/>
    <col min="4354" max="4354" width="33" style="80" customWidth="1"/>
    <col min="4355" max="4365" width="13.5703125" style="80" customWidth="1"/>
    <col min="4366" max="4366" width="12.5703125" style="80" customWidth="1"/>
    <col min="4367" max="4367" width="12.85546875" style="80" bestFit="1" customWidth="1"/>
    <col min="4368" max="4595" width="9.140625" style="80"/>
    <col min="4596" max="4596" width="19.5703125" style="80" customWidth="1"/>
    <col min="4597" max="4609" width="4.5703125" style="80" customWidth="1"/>
    <col min="4610" max="4610" width="33" style="80" customWidth="1"/>
    <col min="4611" max="4621" width="13.5703125" style="80" customWidth="1"/>
    <col min="4622" max="4622" width="12.5703125" style="80" customWidth="1"/>
    <col min="4623" max="4623" width="12.85546875" style="80" bestFit="1" customWidth="1"/>
    <col min="4624" max="4851" width="9.140625" style="80"/>
    <col min="4852" max="4852" width="19.5703125" style="80" customWidth="1"/>
    <col min="4853" max="4865" width="4.5703125" style="80" customWidth="1"/>
    <col min="4866" max="4866" width="33" style="80" customWidth="1"/>
    <col min="4867" max="4877" width="13.5703125" style="80" customWidth="1"/>
    <col min="4878" max="4878" width="12.5703125" style="80" customWidth="1"/>
    <col min="4879" max="4879" width="12.85546875" style="80" bestFit="1" customWidth="1"/>
    <col min="4880" max="5107" width="9.140625" style="80"/>
    <col min="5108" max="5108" width="19.5703125" style="80" customWidth="1"/>
    <col min="5109" max="5121" width="4.5703125" style="80" customWidth="1"/>
    <col min="5122" max="5122" width="33" style="80" customWidth="1"/>
    <col min="5123" max="5133" width="13.5703125" style="80" customWidth="1"/>
    <col min="5134" max="5134" width="12.5703125" style="80" customWidth="1"/>
    <col min="5135" max="5135" width="12.85546875" style="80" bestFit="1" customWidth="1"/>
    <col min="5136" max="5363" width="9.140625" style="80"/>
    <col min="5364" max="5364" width="19.5703125" style="80" customWidth="1"/>
    <col min="5365" max="5377" width="4.5703125" style="80" customWidth="1"/>
    <col min="5378" max="5378" width="33" style="80" customWidth="1"/>
    <col min="5379" max="5389" width="13.5703125" style="80" customWidth="1"/>
    <col min="5390" max="5390" width="12.5703125" style="80" customWidth="1"/>
    <col min="5391" max="5391" width="12.85546875" style="80" bestFit="1" customWidth="1"/>
    <col min="5392" max="5619" width="9.140625" style="80"/>
    <col min="5620" max="5620" width="19.5703125" style="80" customWidth="1"/>
    <col min="5621" max="5633" width="4.5703125" style="80" customWidth="1"/>
    <col min="5634" max="5634" width="33" style="80" customWidth="1"/>
    <col min="5635" max="5645" width="13.5703125" style="80" customWidth="1"/>
    <col min="5646" max="5646" width="12.5703125" style="80" customWidth="1"/>
    <col min="5647" max="5647" width="12.85546875" style="80" bestFit="1" customWidth="1"/>
    <col min="5648" max="5875" width="9.140625" style="80"/>
    <col min="5876" max="5876" width="19.5703125" style="80" customWidth="1"/>
    <col min="5877" max="5889" width="4.5703125" style="80" customWidth="1"/>
    <col min="5890" max="5890" width="33" style="80" customWidth="1"/>
    <col min="5891" max="5901" width="13.5703125" style="80" customWidth="1"/>
    <col min="5902" max="5902" width="12.5703125" style="80" customWidth="1"/>
    <col min="5903" max="5903" width="12.85546875" style="80" bestFit="1" customWidth="1"/>
    <col min="5904" max="6131" width="9.140625" style="80"/>
    <col min="6132" max="6132" width="19.5703125" style="80" customWidth="1"/>
    <col min="6133" max="6145" width="4.5703125" style="80" customWidth="1"/>
    <col min="6146" max="6146" width="33" style="80" customWidth="1"/>
    <col min="6147" max="6157" width="13.5703125" style="80" customWidth="1"/>
    <col min="6158" max="6158" width="12.5703125" style="80" customWidth="1"/>
    <col min="6159" max="6159" width="12.85546875" style="80" bestFit="1" customWidth="1"/>
    <col min="6160" max="6387" width="9.140625" style="80"/>
    <col min="6388" max="6388" width="19.5703125" style="80" customWidth="1"/>
    <col min="6389" max="6401" width="4.5703125" style="80" customWidth="1"/>
    <col min="6402" max="6402" width="33" style="80" customWidth="1"/>
    <col min="6403" max="6413" width="13.5703125" style="80" customWidth="1"/>
    <col min="6414" max="6414" width="12.5703125" style="80" customWidth="1"/>
    <col min="6415" max="6415" width="12.85546875" style="80" bestFit="1" customWidth="1"/>
    <col min="6416" max="6643" width="9.140625" style="80"/>
    <col min="6644" max="6644" width="19.5703125" style="80" customWidth="1"/>
    <col min="6645" max="6657" width="4.5703125" style="80" customWidth="1"/>
    <col min="6658" max="6658" width="33" style="80" customWidth="1"/>
    <col min="6659" max="6669" width="13.5703125" style="80" customWidth="1"/>
    <col min="6670" max="6670" width="12.5703125" style="80" customWidth="1"/>
    <col min="6671" max="6671" width="12.85546875" style="80" bestFit="1" customWidth="1"/>
    <col min="6672" max="6899" width="9.140625" style="80"/>
    <col min="6900" max="6900" width="19.5703125" style="80" customWidth="1"/>
    <col min="6901" max="6913" width="4.5703125" style="80" customWidth="1"/>
    <col min="6914" max="6914" width="33" style="80" customWidth="1"/>
    <col min="6915" max="6925" width="13.5703125" style="80" customWidth="1"/>
    <col min="6926" max="6926" width="12.5703125" style="80" customWidth="1"/>
    <col min="6927" max="6927" width="12.85546875" style="80" bestFit="1" customWidth="1"/>
    <col min="6928" max="7155" width="9.140625" style="80"/>
    <col min="7156" max="7156" width="19.5703125" style="80" customWidth="1"/>
    <col min="7157" max="7169" width="4.5703125" style="80" customWidth="1"/>
    <col min="7170" max="7170" width="33" style="80" customWidth="1"/>
    <col min="7171" max="7181" width="13.5703125" style="80" customWidth="1"/>
    <col min="7182" max="7182" width="12.5703125" style="80" customWidth="1"/>
    <col min="7183" max="7183" width="12.85546875" style="80" bestFit="1" customWidth="1"/>
    <col min="7184" max="7411" width="9.140625" style="80"/>
    <col min="7412" max="7412" width="19.5703125" style="80" customWidth="1"/>
    <col min="7413" max="7425" width="4.5703125" style="80" customWidth="1"/>
    <col min="7426" max="7426" width="33" style="80" customWidth="1"/>
    <col min="7427" max="7437" width="13.5703125" style="80" customWidth="1"/>
    <col min="7438" max="7438" width="12.5703125" style="80" customWidth="1"/>
    <col min="7439" max="7439" width="12.85546875" style="80" bestFit="1" customWidth="1"/>
    <col min="7440" max="7667" width="9.140625" style="80"/>
    <col min="7668" max="7668" width="19.5703125" style="80" customWidth="1"/>
    <col min="7669" max="7681" width="4.5703125" style="80" customWidth="1"/>
    <col min="7682" max="7682" width="33" style="80" customWidth="1"/>
    <col min="7683" max="7693" width="13.5703125" style="80" customWidth="1"/>
    <col min="7694" max="7694" width="12.5703125" style="80" customWidth="1"/>
    <col min="7695" max="7695" width="12.85546875" style="80" bestFit="1" customWidth="1"/>
    <col min="7696" max="7923" width="9.140625" style="80"/>
    <col min="7924" max="7924" width="19.5703125" style="80" customWidth="1"/>
    <col min="7925" max="7937" width="4.5703125" style="80" customWidth="1"/>
    <col min="7938" max="7938" width="33" style="80" customWidth="1"/>
    <col min="7939" max="7949" width="13.5703125" style="80" customWidth="1"/>
    <col min="7950" max="7950" width="12.5703125" style="80" customWidth="1"/>
    <col min="7951" max="7951" width="12.85546875" style="80" bestFit="1" customWidth="1"/>
    <col min="7952" max="8179" width="9.140625" style="80"/>
    <col min="8180" max="8180" width="19.5703125" style="80" customWidth="1"/>
    <col min="8181" max="8193" width="4.5703125" style="80" customWidth="1"/>
    <col min="8194" max="8194" width="33" style="80" customWidth="1"/>
    <col min="8195" max="8205" width="13.5703125" style="80" customWidth="1"/>
    <col min="8206" max="8206" width="12.5703125" style="80" customWidth="1"/>
    <col min="8207" max="8207" width="12.85546875" style="80" bestFit="1" customWidth="1"/>
    <col min="8208" max="8435" width="9.140625" style="80"/>
    <col min="8436" max="8436" width="19.5703125" style="80" customWidth="1"/>
    <col min="8437" max="8449" width="4.5703125" style="80" customWidth="1"/>
    <col min="8450" max="8450" width="33" style="80" customWidth="1"/>
    <col min="8451" max="8461" width="13.5703125" style="80" customWidth="1"/>
    <col min="8462" max="8462" width="12.5703125" style="80" customWidth="1"/>
    <col min="8463" max="8463" width="12.85546875" style="80" bestFit="1" customWidth="1"/>
    <col min="8464" max="8691" width="9.140625" style="80"/>
    <col min="8692" max="8692" width="19.5703125" style="80" customWidth="1"/>
    <col min="8693" max="8705" width="4.5703125" style="80" customWidth="1"/>
    <col min="8706" max="8706" width="33" style="80" customWidth="1"/>
    <col min="8707" max="8717" width="13.5703125" style="80" customWidth="1"/>
    <col min="8718" max="8718" width="12.5703125" style="80" customWidth="1"/>
    <col min="8719" max="8719" width="12.85546875" style="80" bestFit="1" customWidth="1"/>
    <col min="8720" max="8947" width="9.140625" style="80"/>
    <col min="8948" max="8948" width="19.5703125" style="80" customWidth="1"/>
    <col min="8949" max="8961" width="4.5703125" style="80" customWidth="1"/>
    <col min="8962" max="8962" width="33" style="80" customWidth="1"/>
    <col min="8963" max="8973" width="13.5703125" style="80" customWidth="1"/>
    <col min="8974" max="8974" width="12.5703125" style="80" customWidth="1"/>
    <col min="8975" max="8975" width="12.85546875" style="80" bestFit="1" customWidth="1"/>
    <col min="8976" max="9203" width="9.140625" style="80"/>
    <col min="9204" max="9204" width="19.5703125" style="80" customWidth="1"/>
    <col min="9205" max="9217" width="4.5703125" style="80" customWidth="1"/>
    <col min="9218" max="9218" width="33" style="80" customWidth="1"/>
    <col min="9219" max="9229" width="13.5703125" style="80" customWidth="1"/>
    <col min="9230" max="9230" width="12.5703125" style="80" customWidth="1"/>
    <col min="9231" max="9231" width="12.85546875" style="80" bestFit="1" customWidth="1"/>
    <col min="9232" max="9459" width="9.140625" style="80"/>
    <col min="9460" max="9460" width="19.5703125" style="80" customWidth="1"/>
    <col min="9461" max="9473" width="4.5703125" style="80" customWidth="1"/>
    <col min="9474" max="9474" width="33" style="80" customWidth="1"/>
    <col min="9475" max="9485" width="13.5703125" style="80" customWidth="1"/>
    <col min="9486" max="9486" width="12.5703125" style="80" customWidth="1"/>
    <col min="9487" max="9487" width="12.85546875" style="80" bestFit="1" customWidth="1"/>
    <col min="9488" max="9715" width="9.140625" style="80"/>
    <col min="9716" max="9716" width="19.5703125" style="80" customWidth="1"/>
    <col min="9717" max="9729" width="4.5703125" style="80" customWidth="1"/>
    <col min="9730" max="9730" width="33" style="80" customWidth="1"/>
    <col min="9731" max="9741" width="13.5703125" style="80" customWidth="1"/>
    <col min="9742" max="9742" width="12.5703125" style="80" customWidth="1"/>
    <col min="9743" max="9743" width="12.85546875" style="80" bestFit="1" customWidth="1"/>
    <col min="9744" max="9971" width="9.140625" style="80"/>
    <col min="9972" max="9972" width="19.5703125" style="80" customWidth="1"/>
    <col min="9973" max="9985" width="4.5703125" style="80" customWidth="1"/>
    <col min="9986" max="9986" width="33" style="80" customWidth="1"/>
    <col min="9987" max="9997" width="13.5703125" style="80" customWidth="1"/>
    <col min="9998" max="9998" width="12.5703125" style="80" customWidth="1"/>
    <col min="9999" max="9999" width="12.85546875" style="80" bestFit="1" customWidth="1"/>
    <col min="10000" max="10227" width="9.140625" style="80"/>
    <col min="10228" max="10228" width="19.5703125" style="80" customWidth="1"/>
    <col min="10229" max="10241" width="4.5703125" style="80" customWidth="1"/>
    <col min="10242" max="10242" width="33" style="80" customWidth="1"/>
    <col min="10243" max="10253" width="13.5703125" style="80" customWidth="1"/>
    <col min="10254" max="10254" width="12.5703125" style="80" customWidth="1"/>
    <col min="10255" max="10255" width="12.85546875" style="80" bestFit="1" customWidth="1"/>
    <col min="10256" max="10483" width="9.140625" style="80"/>
    <col min="10484" max="10484" width="19.5703125" style="80" customWidth="1"/>
    <col min="10485" max="10497" width="4.5703125" style="80" customWidth="1"/>
    <col min="10498" max="10498" width="33" style="80" customWidth="1"/>
    <col min="10499" max="10509" width="13.5703125" style="80" customWidth="1"/>
    <col min="10510" max="10510" width="12.5703125" style="80" customWidth="1"/>
    <col min="10511" max="10511" width="12.85546875" style="80" bestFit="1" customWidth="1"/>
    <col min="10512" max="10739" width="9.140625" style="80"/>
    <col min="10740" max="10740" width="19.5703125" style="80" customWidth="1"/>
    <col min="10741" max="10753" width="4.5703125" style="80" customWidth="1"/>
    <col min="10754" max="10754" width="33" style="80" customWidth="1"/>
    <col min="10755" max="10765" width="13.5703125" style="80" customWidth="1"/>
    <col min="10766" max="10766" width="12.5703125" style="80" customWidth="1"/>
    <col min="10767" max="10767" width="12.85546875" style="80" bestFit="1" customWidth="1"/>
    <col min="10768" max="10995" width="9.140625" style="80"/>
    <col min="10996" max="10996" width="19.5703125" style="80" customWidth="1"/>
    <col min="10997" max="11009" width="4.5703125" style="80" customWidth="1"/>
    <col min="11010" max="11010" width="33" style="80" customWidth="1"/>
    <col min="11011" max="11021" width="13.5703125" style="80" customWidth="1"/>
    <col min="11022" max="11022" width="12.5703125" style="80" customWidth="1"/>
    <col min="11023" max="11023" width="12.85546875" style="80" bestFit="1" customWidth="1"/>
    <col min="11024" max="11251" width="9.140625" style="80"/>
    <col min="11252" max="11252" width="19.5703125" style="80" customWidth="1"/>
    <col min="11253" max="11265" width="4.5703125" style="80" customWidth="1"/>
    <col min="11266" max="11266" width="33" style="80" customWidth="1"/>
    <col min="11267" max="11277" width="13.5703125" style="80" customWidth="1"/>
    <col min="11278" max="11278" width="12.5703125" style="80" customWidth="1"/>
    <col min="11279" max="11279" width="12.85546875" style="80" bestFit="1" customWidth="1"/>
    <col min="11280" max="11507" width="9.140625" style="80"/>
    <col min="11508" max="11508" width="19.5703125" style="80" customWidth="1"/>
    <col min="11509" max="11521" width="4.5703125" style="80" customWidth="1"/>
    <col min="11522" max="11522" width="33" style="80" customWidth="1"/>
    <col min="11523" max="11533" width="13.5703125" style="80" customWidth="1"/>
    <col min="11534" max="11534" width="12.5703125" style="80" customWidth="1"/>
    <col min="11535" max="11535" width="12.85546875" style="80" bestFit="1" customWidth="1"/>
    <col min="11536" max="11763" width="9.140625" style="80"/>
    <col min="11764" max="11764" width="19.5703125" style="80" customWidth="1"/>
    <col min="11765" max="11777" width="4.5703125" style="80" customWidth="1"/>
    <col min="11778" max="11778" width="33" style="80" customWidth="1"/>
    <col min="11779" max="11789" width="13.5703125" style="80" customWidth="1"/>
    <col min="11790" max="11790" width="12.5703125" style="80" customWidth="1"/>
    <col min="11791" max="11791" width="12.85546875" style="80" bestFit="1" customWidth="1"/>
    <col min="11792" max="12019" width="9.140625" style="80"/>
    <col min="12020" max="12020" width="19.5703125" style="80" customWidth="1"/>
    <col min="12021" max="12033" width="4.5703125" style="80" customWidth="1"/>
    <col min="12034" max="12034" width="33" style="80" customWidth="1"/>
    <col min="12035" max="12045" width="13.5703125" style="80" customWidth="1"/>
    <col min="12046" max="12046" width="12.5703125" style="80" customWidth="1"/>
    <col min="12047" max="12047" width="12.85546875" style="80" bestFit="1" customWidth="1"/>
    <col min="12048" max="12275" width="9.140625" style="80"/>
    <col min="12276" max="12276" width="19.5703125" style="80" customWidth="1"/>
    <col min="12277" max="12289" width="4.5703125" style="80" customWidth="1"/>
    <col min="12290" max="12290" width="33" style="80" customWidth="1"/>
    <col min="12291" max="12301" width="13.5703125" style="80" customWidth="1"/>
    <col min="12302" max="12302" width="12.5703125" style="80" customWidth="1"/>
    <col min="12303" max="12303" width="12.85546875" style="80" bestFit="1" customWidth="1"/>
    <col min="12304" max="12531" width="9.140625" style="80"/>
    <col min="12532" max="12532" width="19.5703125" style="80" customWidth="1"/>
    <col min="12533" max="12545" width="4.5703125" style="80" customWidth="1"/>
    <col min="12546" max="12546" width="33" style="80" customWidth="1"/>
    <col min="12547" max="12557" width="13.5703125" style="80" customWidth="1"/>
    <col min="12558" max="12558" width="12.5703125" style="80" customWidth="1"/>
    <col min="12559" max="12559" width="12.85546875" style="80" bestFit="1" customWidth="1"/>
    <col min="12560" max="12787" width="9.140625" style="80"/>
    <col min="12788" max="12788" width="19.5703125" style="80" customWidth="1"/>
    <col min="12789" max="12801" width="4.5703125" style="80" customWidth="1"/>
    <col min="12802" max="12802" width="33" style="80" customWidth="1"/>
    <col min="12803" max="12813" width="13.5703125" style="80" customWidth="1"/>
    <col min="12814" max="12814" width="12.5703125" style="80" customWidth="1"/>
    <col min="12815" max="12815" width="12.85546875" style="80" bestFit="1" customWidth="1"/>
    <col min="12816" max="13043" width="9.140625" style="80"/>
    <col min="13044" max="13044" width="19.5703125" style="80" customWidth="1"/>
    <col min="13045" max="13057" width="4.5703125" style="80" customWidth="1"/>
    <col min="13058" max="13058" width="33" style="80" customWidth="1"/>
    <col min="13059" max="13069" width="13.5703125" style="80" customWidth="1"/>
    <col min="13070" max="13070" width="12.5703125" style="80" customWidth="1"/>
    <col min="13071" max="13071" width="12.85546875" style="80" bestFit="1" customWidth="1"/>
    <col min="13072" max="13299" width="9.140625" style="80"/>
    <col min="13300" max="13300" width="19.5703125" style="80" customWidth="1"/>
    <col min="13301" max="13313" width="4.5703125" style="80" customWidth="1"/>
    <col min="13314" max="13314" width="33" style="80" customWidth="1"/>
    <col min="13315" max="13325" width="13.5703125" style="80" customWidth="1"/>
    <col min="13326" max="13326" width="12.5703125" style="80" customWidth="1"/>
    <col min="13327" max="13327" width="12.85546875" style="80" bestFit="1" customWidth="1"/>
    <col min="13328" max="13555" width="9.140625" style="80"/>
    <col min="13556" max="13556" width="19.5703125" style="80" customWidth="1"/>
    <col min="13557" max="13569" width="4.5703125" style="80" customWidth="1"/>
    <col min="13570" max="13570" width="33" style="80" customWidth="1"/>
    <col min="13571" max="13581" width="13.5703125" style="80" customWidth="1"/>
    <col min="13582" max="13582" width="12.5703125" style="80" customWidth="1"/>
    <col min="13583" max="13583" width="12.85546875" style="80" bestFit="1" customWidth="1"/>
    <col min="13584" max="13811" width="9.140625" style="80"/>
    <col min="13812" max="13812" width="19.5703125" style="80" customWidth="1"/>
    <col min="13813" max="13825" width="4.5703125" style="80" customWidth="1"/>
    <col min="13826" max="13826" width="33" style="80" customWidth="1"/>
    <col min="13827" max="13837" width="13.5703125" style="80" customWidth="1"/>
    <col min="13838" max="13838" width="12.5703125" style="80" customWidth="1"/>
    <col min="13839" max="13839" width="12.85546875" style="80" bestFit="1" customWidth="1"/>
    <col min="13840" max="14067" width="9.140625" style="80"/>
    <col min="14068" max="14068" width="19.5703125" style="80" customWidth="1"/>
    <col min="14069" max="14081" width="4.5703125" style="80" customWidth="1"/>
    <col min="14082" max="14082" width="33" style="80" customWidth="1"/>
    <col min="14083" max="14093" width="13.5703125" style="80" customWidth="1"/>
    <col min="14094" max="14094" width="12.5703125" style="80" customWidth="1"/>
    <col min="14095" max="14095" width="12.85546875" style="80" bestFit="1" customWidth="1"/>
    <col min="14096" max="14323" width="9.140625" style="80"/>
    <col min="14324" max="14324" width="19.5703125" style="80" customWidth="1"/>
    <col min="14325" max="14337" width="4.5703125" style="80" customWidth="1"/>
    <col min="14338" max="14338" width="33" style="80" customWidth="1"/>
    <col min="14339" max="14349" width="13.5703125" style="80" customWidth="1"/>
    <col min="14350" max="14350" width="12.5703125" style="80" customWidth="1"/>
    <col min="14351" max="14351" width="12.85546875" style="80" bestFit="1" customWidth="1"/>
    <col min="14352" max="14579" width="9.140625" style="80"/>
    <col min="14580" max="14580" width="19.5703125" style="80" customWidth="1"/>
    <col min="14581" max="14593" width="4.5703125" style="80" customWidth="1"/>
    <col min="14594" max="14594" width="33" style="80" customWidth="1"/>
    <col min="14595" max="14605" width="13.5703125" style="80" customWidth="1"/>
    <col min="14606" max="14606" width="12.5703125" style="80" customWidth="1"/>
    <col min="14607" max="14607" width="12.85546875" style="80" bestFit="1" customWidth="1"/>
    <col min="14608" max="14835" width="9.140625" style="80"/>
    <col min="14836" max="14836" width="19.5703125" style="80" customWidth="1"/>
    <col min="14837" max="14849" width="4.5703125" style="80" customWidth="1"/>
    <col min="14850" max="14850" width="33" style="80" customWidth="1"/>
    <col min="14851" max="14861" width="13.5703125" style="80" customWidth="1"/>
    <col min="14862" max="14862" width="12.5703125" style="80" customWidth="1"/>
    <col min="14863" max="14863" width="12.85546875" style="80" bestFit="1" customWidth="1"/>
    <col min="14864" max="15091" width="9.140625" style="80"/>
    <col min="15092" max="15092" width="19.5703125" style="80" customWidth="1"/>
    <col min="15093" max="15105" width="4.5703125" style="80" customWidth="1"/>
    <col min="15106" max="15106" width="33" style="80" customWidth="1"/>
    <col min="15107" max="15117" width="13.5703125" style="80" customWidth="1"/>
    <col min="15118" max="15118" width="12.5703125" style="80" customWidth="1"/>
    <col min="15119" max="15119" width="12.85546875" style="80" bestFit="1" customWidth="1"/>
    <col min="15120" max="15347" width="9.140625" style="80"/>
    <col min="15348" max="15348" width="19.5703125" style="80" customWidth="1"/>
    <col min="15349" max="15361" width="4.5703125" style="80" customWidth="1"/>
    <col min="15362" max="15362" width="33" style="80" customWidth="1"/>
    <col min="15363" max="15373" width="13.5703125" style="80" customWidth="1"/>
    <col min="15374" max="15374" width="12.5703125" style="80" customWidth="1"/>
    <col min="15375" max="15375" width="12.85546875" style="80" bestFit="1" customWidth="1"/>
    <col min="15376" max="15603" width="9.140625" style="80"/>
    <col min="15604" max="15604" width="19.5703125" style="80" customWidth="1"/>
    <col min="15605" max="15617" width="4.5703125" style="80" customWidth="1"/>
    <col min="15618" max="15618" width="33" style="80" customWidth="1"/>
    <col min="15619" max="15629" width="13.5703125" style="80" customWidth="1"/>
    <col min="15630" max="15630" width="12.5703125" style="80" customWidth="1"/>
    <col min="15631" max="15631" width="12.85546875" style="80" bestFit="1" customWidth="1"/>
    <col min="15632" max="15859" width="9.140625" style="80"/>
    <col min="15860" max="15860" width="19.5703125" style="80" customWidth="1"/>
    <col min="15861" max="15873" width="4.5703125" style="80" customWidth="1"/>
    <col min="15874" max="15874" width="33" style="80" customWidth="1"/>
    <col min="15875" max="15885" width="13.5703125" style="80" customWidth="1"/>
    <col min="15886" max="15886" width="12.5703125" style="80" customWidth="1"/>
    <col min="15887" max="15887" width="12.85546875" style="80" bestFit="1" customWidth="1"/>
    <col min="15888" max="16115" width="9.140625" style="80"/>
    <col min="16116" max="16116" width="19.5703125" style="80" customWidth="1"/>
    <col min="16117" max="16129" width="4.5703125" style="80" customWidth="1"/>
    <col min="16130" max="16130" width="33" style="80" customWidth="1"/>
    <col min="16131" max="16141" width="13.5703125" style="80" customWidth="1"/>
    <col min="16142" max="16142" width="12.5703125" style="80" customWidth="1"/>
    <col min="16143" max="16143" width="12.85546875" style="80" bestFit="1" customWidth="1"/>
    <col min="16144" max="16384" width="9.140625" style="80"/>
  </cols>
  <sheetData>
    <row r="1" spans="1:14" ht="6.75" customHeight="1" x14ac:dyDescent="0.2"/>
    <row r="2" spans="1:14" ht="28.5" customHeight="1" x14ac:dyDescent="0.2">
      <c r="B2" s="81" t="s">
        <v>790</v>
      </c>
      <c r="C2" s="81" t="s">
        <v>485</v>
      </c>
      <c r="D2" s="82" t="s">
        <v>488</v>
      </c>
      <c r="E2" s="81" t="s">
        <v>791</v>
      </c>
      <c r="F2" s="81" t="s">
        <v>792</v>
      </c>
      <c r="G2" s="81" t="s">
        <v>621</v>
      </c>
      <c r="H2" s="81" t="s">
        <v>793</v>
      </c>
      <c r="I2" s="81" t="s">
        <v>794</v>
      </c>
      <c r="J2" s="81" t="s">
        <v>795</v>
      </c>
      <c r="K2" s="82" t="s">
        <v>796</v>
      </c>
      <c r="L2" s="81" t="s">
        <v>622</v>
      </c>
      <c r="M2" s="81" t="s">
        <v>797</v>
      </c>
      <c r="N2" s="81" t="s">
        <v>616</v>
      </c>
    </row>
    <row r="3" spans="1:14" x14ac:dyDescent="0.2">
      <c r="A3" s="83" t="s">
        <v>798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x14ac:dyDescent="0.2">
      <c r="A4" s="85" t="s">
        <v>799</v>
      </c>
      <c r="B4" s="86">
        <f t="shared" ref="B4:J4" si="0">SUM(B5:B15)</f>
        <v>9339645.120000001</v>
      </c>
      <c r="C4" s="86">
        <f t="shared" si="0"/>
        <v>0</v>
      </c>
      <c r="D4" s="86">
        <f t="shared" si="0"/>
        <v>0</v>
      </c>
      <c r="E4" s="86">
        <f t="shared" si="0"/>
        <v>0</v>
      </c>
      <c r="F4" s="86">
        <f t="shared" si="0"/>
        <v>0</v>
      </c>
      <c r="G4" s="86">
        <f t="shared" si="0"/>
        <v>0</v>
      </c>
      <c r="H4" s="86">
        <f t="shared" si="0"/>
        <v>0</v>
      </c>
      <c r="I4" s="86">
        <f t="shared" si="0"/>
        <v>0</v>
      </c>
      <c r="J4" s="86">
        <f t="shared" si="0"/>
        <v>0</v>
      </c>
      <c r="K4" s="86"/>
      <c r="L4" s="86">
        <f>SUM(L5:L15)</f>
        <v>0</v>
      </c>
      <c r="M4" s="86">
        <f>SUM(M5:M15)</f>
        <v>0</v>
      </c>
      <c r="N4" s="86">
        <f>SUM(N5:N15)</f>
        <v>9339645.120000001</v>
      </c>
    </row>
    <row r="5" spans="1:14" x14ac:dyDescent="0.2">
      <c r="A5" s="87" t="s">
        <v>800</v>
      </c>
      <c r="B5" s="88">
        <v>0</v>
      </c>
      <c r="C5" s="86">
        <v>0</v>
      </c>
      <c r="D5" s="86">
        <v>0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  <c r="J5" s="86">
        <v>0</v>
      </c>
      <c r="K5" s="86"/>
      <c r="L5" s="86">
        <v>0</v>
      </c>
      <c r="M5" s="86">
        <v>0</v>
      </c>
      <c r="N5" s="89">
        <f>B5</f>
        <v>0</v>
      </c>
    </row>
    <row r="6" spans="1:14" x14ac:dyDescent="0.2">
      <c r="A6" s="87" t="s">
        <v>801</v>
      </c>
      <c r="B6" s="90">
        <v>0</v>
      </c>
      <c r="C6" s="86">
        <v>0</v>
      </c>
      <c r="D6" s="86">
        <v>0</v>
      </c>
      <c r="E6" s="86">
        <v>0</v>
      </c>
      <c r="F6" s="86">
        <v>0</v>
      </c>
      <c r="G6" s="86">
        <v>0</v>
      </c>
      <c r="H6" s="86">
        <v>0</v>
      </c>
      <c r="I6" s="86">
        <v>0</v>
      </c>
      <c r="J6" s="86">
        <v>0</v>
      </c>
      <c r="K6" s="86"/>
      <c r="L6" s="86">
        <v>0</v>
      </c>
      <c r="M6" s="86">
        <v>0</v>
      </c>
      <c r="N6" s="89">
        <f t="shared" ref="N6:N15" si="1">B6</f>
        <v>0</v>
      </c>
    </row>
    <row r="7" spans="1:14" x14ac:dyDescent="0.2">
      <c r="A7" s="87" t="s">
        <v>802</v>
      </c>
      <c r="B7" s="91">
        <f>184425.71*12</f>
        <v>2213108.52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/>
      <c r="L7" s="86">
        <v>0</v>
      </c>
      <c r="M7" s="86">
        <v>0</v>
      </c>
      <c r="N7" s="89">
        <f t="shared" si="1"/>
        <v>2213108.52</v>
      </c>
    </row>
    <row r="8" spans="1:14" ht="14.25" customHeight="1" x14ac:dyDescent="0.2">
      <c r="A8" s="87" t="s">
        <v>803</v>
      </c>
      <c r="B8" s="90">
        <v>0</v>
      </c>
      <c r="C8" s="86">
        <v>0</v>
      </c>
      <c r="D8" s="86">
        <v>0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/>
      <c r="L8" s="86">
        <v>0</v>
      </c>
      <c r="M8" s="86">
        <v>0</v>
      </c>
      <c r="N8" s="89">
        <f t="shared" si="1"/>
        <v>0</v>
      </c>
    </row>
    <row r="9" spans="1:14" x14ac:dyDescent="0.2">
      <c r="A9" s="87" t="s">
        <v>804</v>
      </c>
      <c r="B9" s="92">
        <f>508977.92*12</f>
        <v>6107735.04</v>
      </c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/>
      <c r="L9" s="86">
        <v>0</v>
      </c>
      <c r="M9" s="86">
        <v>0</v>
      </c>
      <c r="N9" s="89">
        <f t="shared" si="1"/>
        <v>6107735.04</v>
      </c>
    </row>
    <row r="10" spans="1:14" x14ac:dyDescent="0.2">
      <c r="A10" s="87" t="s">
        <v>805</v>
      </c>
      <c r="B10" s="91">
        <f>40600*12</f>
        <v>487200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/>
      <c r="L10" s="86">
        <v>0</v>
      </c>
      <c r="M10" s="86">
        <v>0</v>
      </c>
      <c r="N10" s="89">
        <f t="shared" si="1"/>
        <v>487200</v>
      </c>
    </row>
    <row r="11" spans="1:14" x14ac:dyDescent="0.2">
      <c r="A11" s="87" t="s">
        <v>806</v>
      </c>
      <c r="B11" s="90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/>
      <c r="L11" s="86">
        <v>0</v>
      </c>
      <c r="M11" s="86">
        <v>0</v>
      </c>
      <c r="N11" s="89">
        <f t="shared" si="1"/>
        <v>0</v>
      </c>
    </row>
    <row r="12" spans="1:14" x14ac:dyDescent="0.2">
      <c r="A12" s="87" t="s">
        <v>807</v>
      </c>
      <c r="B12" s="91">
        <f>7511.02*12</f>
        <v>90132.24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86"/>
      <c r="L12" s="86">
        <v>0</v>
      </c>
      <c r="M12" s="86">
        <v>0</v>
      </c>
      <c r="N12" s="89">
        <f t="shared" si="1"/>
        <v>90132.24</v>
      </c>
    </row>
    <row r="13" spans="1:14" x14ac:dyDescent="0.2">
      <c r="A13" s="87" t="s">
        <v>808</v>
      </c>
      <c r="B13" s="89"/>
      <c r="C13" s="86"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86">
        <v>0</v>
      </c>
      <c r="K13" s="86"/>
      <c r="L13" s="86">
        <v>0</v>
      </c>
      <c r="M13" s="86">
        <v>0</v>
      </c>
      <c r="N13" s="89">
        <f t="shared" si="1"/>
        <v>0</v>
      </c>
    </row>
    <row r="14" spans="1:14" x14ac:dyDescent="0.2">
      <c r="A14" s="87" t="s">
        <v>809</v>
      </c>
      <c r="B14" s="92">
        <f>35517.11*12</f>
        <v>426205.32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/>
      <c r="L14" s="86">
        <v>0</v>
      </c>
      <c r="M14" s="86">
        <v>0</v>
      </c>
      <c r="N14" s="89">
        <f t="shared" si="1"/>
        <v>426205.32</v>
      </c>
    </row>
    <row r="15" spans="1:14" x14ac:dyDescent="0.2">
      <c r="A15" s="87" t="s">
        <v>810</v>
      </c>
      <c r="B15" s="93">
        <f>1272*12</f>
        <v>15264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/>
      <c r="L15" s="86">
        <v>0</v>
      </c>
      <c r="M15" s="86">
        <v>0</v>
      </c>
      <c r="N15" s="89">
        <f t="shared" si="1"/>
        <v>15264</v>
      </c>
    </row>
    <row r="16" spans="1:14" x14ac:dyDescent="0.2">
      <c r="B16" s="94"/>
      <c r="C16" s="94"/>
      <c r="D16" s="95"/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17" spans="1:15" x14ac:dyDescent="0.2">
      <c r="A17" s="96" t="s">
        <v>811</v>
      </c>
      <c r="B17" s="97"/>
      <c r="C17" s="97"/>
      <c r="D17" s="98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5" x14ac:dyDescent="0.2">
      <c r="A18" s="85" t="s">
        <v>799</v>
      </c>
      <c r="B18" s="99">
        <f t="shared" ref="B18:N18" si="2">SUM(B19:B23)</f>
        <v>0</v>
      </c>
      <c r="C18" s="99">
        <f t="shared" si="2"/>
        <v>0</v>
      </c>
      <c r="D18" s="99">
        <f t="shared" si="2"/>
        <v>0</v>
      </c>
      <c r="E18" s="99">
        <f t="shared" si="2"/>
        <v>1448445.96</v>
      </c>
      <c r="F18" s="99">
        <f t="shared" si="2"/>
        <v>1247155.04</v>
      </c>
      <c r="G18" s="99">
        <f t="shared" si="2"/>
        <v>1211583.3599999999</v>
      </c>
      <c r="H18" s="99">
        <f t="shared" si="2"/>
        <v>1213983.3599999999</v>
      </c>
      <c r="I18" s="99">
        <f t="shared" si="2"/>
        <v>0</v>
      </c>
      <c r="J18" s="99">
        <f t="shared" si="2"/>
        <v>0</v>
      </c>
      <c r="K18" s="99"/>
      <c r="L18" s="99">
        <f t="shared" si="2"/>
        <v>0</v>
      </c>
      <c r="M18" s="99">
        <f t="shared" si="2"/>
        <v>0</v>
      </c>
      <c r="N18" s="99">
        <f t="shared" si="2"/>
        <v>5121167.72</v>
      </c>
    </row>
    <row r="19" spans="1:15" ht="15" x14ac:dyDescent="0.25">
      <c r="A19" s="100" t="s">
        <v>804</v>
      </c>
      <c r="B19" s="101"/>
      <c r="C19" s="101"/>
      <c r="D19" s="101"/>
      <c r="E19" s="89">
        <f>12*84806.33</f>
        <v>1017675.96</v>
      </c>
      <c r="F19" s="89">
        <f>12*75148.04</f>
        <v>901776.48</v>
      </c>
      <c r="G19" s="102">
        <f>12*70464.45</f>
        <v>845573.39999999991</v>
      </c>
      <c r="H19" s="103">
        <f>12*70464.45</f>
        <v>845573.39999999991</v>
      </c>
      <c r="I19" s="103"/>
      <c r="J19" s="103"/>
      <c r="K19" s="103"/>
      <c r="L19" s="103"/>
      <c r="M19" s="89"/>
      <c r="N19" s="104">
        <f>SUM(E19:H19)</f>
        <v>3610599.2399999998</v>
      </c>
    </row>
    <row r="20" spans="1:15" x14ac:dyDescent="0.2">
      <c r="A20" s="100" t="s">
        <v>812</v>
      </c>
      <c r="B20" s="101"/>
      <c r="C20" s="101"/>
      <c r="D20" s="101"/>
      <c r="E20" s="89">
        <v>184770</v>
      </c>
      <c r="F20" s="89">
        <v>153378.56</v>
      </c>
      <c r="G20" s="89">
        <v>149010</v>
      </c>
      <c r="H20" s="89">
        <v>149010</v>
      </c>
      <c r="I20" s="89"/>
      <c r="J20" s="89"/>
      <c r="K20" s="89"/>
      <c r="L20" s="89"/>
      <c r="M20" s="89"/>
      <c r="N20" s="104">
        <f>SUM(E20:H20)</f>
        <v>636168.56000000006</v>
      </c>
    </row>
    <row r="21" spans="1:15" ht="15" x14ac:dyDescent="0.25">
      <c r="A21" s="100" t="s">
        <v>813</v>
      </c>
      <c r="B21" s="101"/>
      <c r="C21" s="101"/>
      <c r="D21" s="101"/>
      <c r="E21" s="89">
        <f>12*1500</f>
        <v>18000</v>
      </c>
      <c r="F21" s="89">
        <f>12*1000</f>
        <v>12000</v>
      </c>
      <c r="G21" s="89">
        <f>12*1000</f>
        <v>12000</v>
      </c>
      <c r="H21" s="103">
        <f>12*1200</f>
        <v>14400</v>
      </c>
      <c r="I21" s="89"/>
      <c r="J21" s="89"/>
      <c r="K21" s="89"/>
      <c r="L21" s="89"/>
      <c r="M21" s="89"/>
      <c r="N21" s="104">
        <f>SUM(E21:H21)</f>
        <v>56400</v>
      </c>
    </row>
    <row r="22" spans="1:15" hidden="1" x14ac:dyDescent="0.2">
      <c r="A22" s="100" t="s">
        <v>814</v>
      </c>
      <c r="B22" s="101"/>
      <c r="C22" s="101"/>
      <c r="D22" s="101"/>
      <c r="E22" s="89">
        <v>0</v>
      </c>
      <c r="F22" s="89">
        <v>0</v>
      </c>
      <c r="G22" s="89">
        <v>0</v>
      </c>
      <c r="H22" s="89"/>
      <c r="I22" s="89"/>
      <c r="J22" s="89"/>
      <c r="K22" s="89"/>
      <c r="L22" s="89"/>
      <c r="M22" s="89"/>
      <c r="N22" s="104">
        <f>SUM(E22:H22)</f>
        <v>0</v>
      </c>
    </row>
    <row r="23" spans="1:15" ht="15" x14ac:dyDescent="0.25">
      <c r="A23" s="100" t="s">
        <v>815</v>
      </c>
      <c r="B23" s="101"/>
      <c r="C23" s="101"/>
      <c r="D23" s="101"/>
      <c r="E23" s="89">
        <f>12*19000</f>
        <v>228000</v>
      </c>
      <c r="F23" s="89">
        <f>12*15000</f>
        <v>180000</v>
      </c>
      <c r="G23" s="102">
        <f>12*17083.33</f>
        <v>204999.96000000002</v>
      </c>
      <c r="H23" s="103">
        <f>12*17083.33</f>
        <v>204999.96000000002</v>
      </c>
      <c r="I23" s="89"/>
      <c r="J23" s="89"/>
      <c r="K23" s="89"/>
      <c r="L23" s="89"/>
      <c r="M23" s="89"/>
      <c r="N23" s="104">
        <f>SUM(E23:H23)</f>
        <v>817999.91999999993</v>
      </c>
    </row>
    <row r="24" spans="1:15" x14ac:dyDescent="0.2">
      <c r="A24" s="105"/>
      <c r="B24" s="106"/>
      <c r="C24" s="106"/>
      <c r="D24" s="106"/>
      <c r="E24" s="84"/>
      <c r="F24" s="84"/>
      <c r="G24" s="84"/>
      <c r="H24" s="84"/>
      <c r="I24" s="84"/>
      <c r="J24" s="84"/>
      <c r="K24" s="84"/>
      <c r="L24" s="84"/>
      <c r="M24" s="84"/>
      <c r="N24" s="107"/>
    </row>
    <row r="25" spans="1:15" x14ac:dyDescent="0.2">
      <c r="A25" s="108" t="s">
        <v>816</v>
      </c>
      <c r="B25" s="109"/>
      <c r="C25" s="109"/>
      <c r="D25" s="109"/>
      <c r="E25" s="89">
        <f>SUM(E26:E29)</f>
        <v>56108.639999999999</v>
      </c>
      <c r="F25" s="89">
        <f t="shared" ref="F25:L25" si="3">SUM(F26:F29)</f>
        <v>1784.6399999999999</v>
      </c>
      <c r="G25" s="89">
        <f>SUM(G26:G29)</f>
        <v>1784.6399999999999</v>
      </c>
      <c r="H25" s="89">
        <f t="shared" si="3"/>
        <v>0</v>
      </c>
      <c r="I25" s="89">
        <f t="shared" si="3"/>
        <v>0</v>
      </c>
      <c r="J25" s="89">
        <f t="shared" si="3"/>
        <v>0</v>
      </c>
      <c r="K25" s="89"/>
      <c r="L25" s="89">
        <f t="shared" si="3"/>
        <v>0</v>
      </c>
      <c r="M25" s="89"/>
      <c r="N25" s="89">
        <f>SUM(N26:N29)</f>
        <v>59677.919999999998</v>
      </c>
    </row>
    <row r="26" spans="1:15" x14ac:dyDescent="0.2">
      <c r="A26" s="110" t="s">
        <v>817</v>
      </c>
      <c r="B26" s="111"/>
      <c r="C26" s="111"/>
      <c r="D26" s="111"/>
      <c r="E26" s="89">
        <f>12*148.72</f>
        <v>1784.6399999999999</v>
      </c>
      <c r="F26" s="89">
        <f>12*148.72</f>
        <v>1784.6399999999999</v>
      </c>
      <c r="G26" s="89">
        <f>12*148.72</f>
        <v>1784.6399999999999</v>
      </c>
      <c r="H26" s="112"/>
      <c r="I26" s="112"/>
      <c r="J26" s="112"/>
      <c r="K26" s="112"/>
      <c r="L26" s="112"/>
      <c r="M26" s="112"/>
      <c r="N26" s="104">
        <f>SUM(E26:H26)</f>
        <v>5353.92</v>
      </c>
    </row>
    <row r="27" spans="1:15" x14ac:dyDescent="0.2">
      <c r="A27" s="110" t="s">
        <v>818</v>
      </c>
      <c r="B27" s="111"/>
      <c r="C27" s="111"/>
      <c r="D27" s="111"/>
      <c r="E27" s="89">
        <f>12*4527</f>
        <v>54324</v>
      </c>
      <c r="F27" s="89">
        <v>0</v>
      </c>
      <c r="G27" s="89">
        <v>0</v>
      </c>
      <c r="H27" s="112"/>
      <c r="I27" s="112"/>
      <c r="J27" s="112"/>
      <c r="K27" s="112"/>
      <c r="L27" s="112"/>
      <c r="M27" s="112"/>
      <c r="N27" s="104">
        <f>SUM(E27:H27)</f>
        <v>54324</v>
      </c>
    </row>
    <row r="28" spans="1:15" x14ac:dyDescent="0.2">
      <c r="A28" s="110" t="s">
        <v>819</v>
      </c>
      <c r="B28" s="111"/>
      <c r="C28" s="111"/>
      <c r="D28" s="111"/>
      <c r="E28" s="89">
        <v>0</v>
      </c>
      <c r="F28" s="89">
        <v>0</v>
      </c>
      <c r="G28" s="89">
        <v>0</v>
      </c>
      <c r="H28" s="112"/>
      <c r="I28" s="112"/>
      <c r="J28" s="112"/>
      <c r="K28" s="112"/>
      <c r="L28" s="112"/>
      <c r="M28" s="112"/>
      <c r="N28" s="104">
        <f>SUM(E28:H28)</f>
        <v>0</v>
      </c>
    </row>
    <row r="29" spans="1:15" x14ac:dyDescent="0.2">
      <c r="A29" s="110" t="s">
        <v>820</v>
      </c>
      <c r="B29" s="111"/>
      <c r="C29" s="111"/>
      <c r="D29" s="111"/>
      <c r="E29" s="89">
        <v>0</v>
      </c>
      <c r="F29" s="89">
        <v>0</v>
      </c>
      <c r="G29" s="89">
        <v>0</v>
      </c>
      <c r="H29" s="112"/>
      <c r="I29" s="112"/>
      <c r="J29" s="112"/>
      <c r="K29" s="112"/>
      <c r="L29" s="112"/>
      <c r="M29" s="112"/>
      <c r="N29" s="104">
        <f>SUM(E29:H29)</f>
        <v>0</v>
      </c>
    </row>
    <row r="30" spans="1:15" x14ac:dyDescent="0.2">
      <c r="B30" s="113">
        <f t="shared" ref="B30:M30" si="4">B18+B25</f>
        <v>0</v>
      </c>
      <c r="C30" s="113">
        <f t="shared" si="4"/>
        <v>0</v>
      </c>
      <c r="D30" s="113">
        <f t="shared" si="4"/>
        <v>0</v>
      </c>
      <c r="E30" s="113">
        <f>E18+E25</f>
        <v>1504554.5999999999</v>
      </c>
      <c r="F30" s="113">
        <f>F18+F25</f>
        <v>1248939.68</v>
      </c>
      <c r="G30" s="113">
        <f>G18+G25</f>
        <v>1213367.9999999998</v>
      </c>
      <c r="H30" s="113">
        <f>H18+H25</f>
        <v>1213983.3599999999</v>
      </c>
      <c r="I30" s="113">
        <f t="shared" si="4"/>
        <v>0</v>
      </c>
      <c r="J30" s="113">
        <f t="shared" si="4"/>
        <v>0</v>
      </c>
      <c r="K30" s="113"/>
      <c r="L30" s="113">
        <f t="shared" si="4"/>
        <v>0</v>
      </c>
      <c r="M30" s="113">
        <f t="shared" si="4"/>
        <v>0</v>
      </c>
      <c r="N30" s="113">
        <f>SUM(E30:H30)</f>
        <v>5180845.6399999987</v>
      </c>
      <c r="O30" s="114"/>
    </row>
    <row r="31" spans="1:15" x14ac:dyDescent="0.2">
      <c r="A31" s="115" t="s">
        <v>821</v>
      </c>
    </row>
    <row r="32" spans="1:15" x14ac:dyDescent="0.2">
      <c r="A32" s="116" t="s">
        <v>822</v>
      </c>
      <c r="B32" s="117">
        <f t="shared" ref="B32:N32" si="5">SUM(B33:B45)</f>
        <v>451591.89054000005</v>
      </c>
      <c r="C32" s="117">
        <f t="shared" si="5"/>
        <v>1327385.1596399997</v>
      </c>
      <c r="D32" s="117">
        <f t="shared" si="5"/>
        <v>5208537.2707199994</v>
      </c>
      <c r="E32" s="117">
        <f t="shared" si="5"/>
        <v>3954597.9574199999</v>
      </c>
      <c r="F32" s="117">
        <f t="shared" si="5"/>
        <v>5184902.88576</v>
      </c>
      <c r="G32" s="117">
        <f t="shared" si="5"/>
        <v>4941963.5491799992</v>
      </c>
      <c r="H32" s="117">
        <f t="shared" si="5"/>
        <v>11992346.614979999</v>
      </c>
      <c r="I32" s="117">
        <f t="shared" si="5"/>
        <v>1510363.0686600001</v>
      </c>
      <c r="J32" s="117">
        <f t="shared" si="5"/>
        <v>2150732.3988000001</v>
      </c>
      <c r="K32" s="117">
        <f t="shared" si="5"/>
        <v>1283923.76844</v>
      </c>
      <c r="L32" s="117">
        <f t="shared" si="5"/>
        <v>2233921.9422599999</v>
      </c>
      <c r="M32" s="117">
        <f t="shared" si="5"/>
        <v>1691367.43074</v>
      </c>
      <c r="N32" s="117">
        <f t="shared" si="5"/>
        <v>41931633.937139995</v>
      </c>
    </row>
    <row r="33" spans="1:16" x14ac:dyDescent="0.2">
      <c r="A33" s="87" t="s">
        <v>823</v>
      </c>
      <c r="B33" s="91">
        <f>12*34183.99158</f>
        <v>410207.89896000002</v>
      </c>
      <c r="C33" s="88">
        <f>12*100445.01228</f>
        <v>1205340.1473599998</v>
      </c>
      <c r="D33" s="91">
        <f>12*360849.56544</f>
        <v>4330194.7852799995</v>
      </c>
      <c r="E33" s="91">
        <f>12*273383.38134</f>
        <v>3280600.57608</v>
      </c>
      <c r="F33" s="92">
        <f>12*375720.08352</f>
        <v>4508641.0022400003</v>
      </c>
      <c r="G33" s="91">
        <f>12*358815.22686</f>
        <v>4305782.7223199997</v>
      </c>
      <c r="H33" s="92">
        <f>12*712538.09346</f>
        <v>8550457.1215199996</v>
      </c>
      <c r="I33" s="91">
        <f>12*105985.46682</f>
        <v>1271825.6018400001</v>
      </c>
      <c r="J33" s="92">
        <f>12*136126.7076</f>
        <v>1633520.4912</v>
      </c>
      <c r="K33" s="92">
        <f>12*89224.28988</f>
        <v>1070691.47856</v>
      </c>
      <c r="L33" s="92">
        <f>12*150999.81402</f>
        <v>1811997.7682399999</v>
      </c>
      <c r="M33" s="92">
        <f>12*130105.18698</f>
        <v>1561262.24376</v>
      </c>
      <c r="N33" s="89">
        <f t="shared" ref="N33:N45" si="6">SUM(B33:M33)</f>
        <v>33940521.837359995</v>
      </c>
    </row>
    <row r="34" spans="1:16" x14ac:dyDescent="0.2">
      <c r="A34" s="87" t="s">
        <v>815</v>
      </c>
      <c r="B34" s="90"/>
      <c r="C34" s="90">
        <v>0</v>
      </c>
      <c r="D34" s="92">
        <f>12*36482.41</f>
        <v>437788.92000000004</v>
      </c>
      <c r="E34" s="92">
        <f>12*28600.5</f>
        <v>343206</v>
      </c>
      <c r="F34" s="92">
        <f>12*20277.15</f>
        <v>243325.80000000002</v>
      </c>
      <c r="G34" s="92">
        <f>12*15261.8</f>
        <v>183141.59999999998</v>
      </c>
      <c r="H34" s="92">
        <f>12*209251.95</f>
        <v>2511023.4000000004</v>
      </c>
      <c r="I34" s="92">
        <f>12*9504</f>
        <v>114048</v>
      </c>
      <c r="J34" s="92">
        <f>12*27331.1</f>
        <v>327973.19999999995</v>
      </c>
      <c r="K34" s="92">
        <f>12*9534</f>
        <v>114408</v>
      </c>
      <c r="L34" s="92">
        <f>12*19793.03</f>
        <v>237516.36</v>
      </c>
      <c r="M34" s="89"/>
      <c r="N34" s="89">
        <f t="shared" si="6"/>
        <v>4512431.2800000012</v>
      </c>
    </row>
    <row r="35" spans="1:16" x14ac:dyDescent="0.2">
      <c r="A35" s="87" t="s">
        <v>814</v>
      </c>
      <c r="B35" s="90"/>
      <c r="C35" s="90">
        <v>0</v>
      </c>
      <c r="D35" s="92">
        <f>12*742</f>
        <v>8904</v>
      </c>
      <c r="E35" s="92">
        <f>12*1484</f>
        <v>17808</v>
      </c>
      <c r="F35" s="92">
        <f>12*2968</f>
        <v>35616</v>
      </c>
      <c r="G35" s="92">
        <f>12*4452</f>
        <v>53424</v>
      </c>
      <c r="H35" s="92">
        <f>12*5194</f>
        <v>62328</v>
      </c>
      <c r="I35" s="92">
        <f>12*742</f>
        <v>8904</v>
      </c>
      <c r="J35" s="92">
        <f>12*2226</f>
        <v>26712</v>
      </c>
      <c r="K35" s="92"/>
      <c r="L35" s="92">
        <f>12*1484</f>
        <v>17808</v>
      </c>
      <c r="M35" s="89"/>
      <c r="N35" s="89">
        <f t="shared" si="6"/>
        <v>231504</v>
      </c>
    </row>
    <row r="36" spans="1:16" x14ac:dyDescent="0.2">
      <c r="A36" s="87" t="s">
        <v>813</v>
      </c>
      <c r="B36" s="91">
        <f>12*600</f>
        <v>7200</v>
      </c>
      <c r="C36" s="88">
        <f>12*1800</f>
        <v>21600</v>
      </c>
      <c r="D36" s="92">
        <f>12*5600</f>
        <v>67200</v>
      </c>
      <c r="E36" s="92">
        <f>12*3000</f>
        <v>36000</v>
      </c>
      <c r="F36" s="92">
        <f>12*1800</f>
        <v>21600</v>
      </c>
      <c r="G36" s="92">
        <f>12*2800</f>
        <v>33600</v>
      </c>
      <c r="H36" s="92">
        <f>12*12100</f>
        <v>145200</v>
      </c>
      <c r="I36" s="92">
        <f>12*800</f>
        <v>9600</v>
      </c>
      <c r="J36" s="92">
        <f>12*2200</f>
        <v>26400</v>
      </c>
      <c r="K36" s="92">
        <f>12*800</f>
        <v>9600</v>
      </c>
      <c r="L36" s="92">
        <f>12*1000</f>
        <v>12000</v>
      </c>
      <c r="M36" s="89"/>
      <c r="N36" s="89">
        <f t="shared" si="6"/>
        <v>390000</v>
      </c>
    </row>
    <row r="37" spans="1:16" x14ac:dyDescent="0.2">
      <c r="A37" s="87" t="s">
        <v>824</v>
      </c>
      <c r="B37" s="90"/>
      <c r="C37" s="90"/>
      <c r="D37" s="92">
        <f>12*300</f>
        <v>3600</v>
      </c>
      <c r="E37" s="89">
        <f>12*300</f>
        <v>3600</v>
      </c>
      <c r="F37" s="89"/>
      <c r="G37" s="92">
        <f>12*600</f>
        <v>7200</v>
      </c>
      <c r="H37" s="92">
        <f>12*900</f>
        <v>10800</v>
      </c>
      <c r="I37" s="89"/>
      <c r="J37" s="89"/>
      <c r="K37" s="89"/>
      <c r="L37" s="92">
        <f>12*300</f>
        <v>3600</v>
      </c>
      <c r="M37" s="89"/>
      <c r="N37" s="89">
        <f t="shared" si="6"/>
        <v>28800</v>
      </c>
    </row>
    <row r="38" spans="1:16" x14ac:dyDescent="0.2">
      <c r="A38" s="87" t="s">
        <v>825</v>
      </c>
      <c r="B38" s="92">
        <f>34183.99158</f>
        <v>34183.991580000002</v>
      </c>
      <c r="C38" s="92">
        <f>100445.01228</f>
        <v>100445.01228</v>
      </c>
      <c r="D38" s="92">
        <f>360849.56544</f>
        <v>360849.56543999998</v>
      </c>
      <c r="E38" s="92">
        <v>273383.38134000002</v>
      </c>
      <c r="F38" s="92">
        <v>375720.08351999999</v>
      </c>
      <c r="G38" s="92">
        <v>358815.22686000017</v>
      </c>
      <c r="H38" s="92">
        <v>712538.09346</v>
      </c>
      <c r="I38" s="92">
        <v>105985.46682</v>
      </c>
      <c r="J38" s="92">
        <v>136126.70759999999</v>
      </c>
      <c r="K38" s="92">
        <v>89224.289879999997</v>
      </c>
      <c r="L38" s="92">
        <v>150999.81402000002</v>
      </c>
      <c r="M38" s="92">
        <v>130105.18698000003</v>
      </c>
      <c r="N38" s="89">
        <f t="shared" si="6"/>
        <v>2828376.8197800005</v>
      </c>
      <c r="P38" s="118"/>
    </row>
    <row r="39" spans="1:16" hidden="1" x14ac:dyDescent="0.2">
      <c r="A39" s="87" t="s">
        <v>826</v>
      </c>
      <c r="B39" s="90">
        <v>0</v>
      </c>
      <c r="C39" s="90">
        <v>0</v>
      </c>
      <c r="D39" s="90">
        <v>0</v>
      </c>
      <c r="E39" s="89">
        <v>0</v>
      </c>
      <c r="F39" s="89">
        <v>0</v>
      </c>
      <c r="G39" s="89">
        <v>0</v>
      </c>
      <c r="H39" s="89">
        <v>0</v>
      </c>
      <c r="I39" s="89">
        <v>0</v>
      </c>
      <c r="J39" s="89">
        <v>0</v>
      </c>
      <c r="K39" s="89"/>
      <c r="L39" s="89">
        <v>0</v>
      </c>
      <c r="M39" s="89"/>
      <c r="N39" s="89">
        <f t="shared" si="6"/>
        <v>0</v>
      </c>
    </row>
    <row r="40" spans="1:16" hidden="1" x14ac:dyDescent="0.2">
      <c r="A40" s="87" t="s">
        <v>827</v>
      </c>
      <c r="B40" s="90">
        <v>0</v>
      </c>
      <c r="C40" s="90">
        <v>0</v>
      </c>
      <c r="D40" s="90">
        <v>0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/>
      <c r="L40" s="89">
        <v>0</v>
      </c>
      <c r="M40" s="89"/>
      <c r="N40" s="89">
        <f t="shared" si="6"/>
        <v>0</v>
      </c>
    </row>
    <row r="41" spans="1:16" hidden="1" x14ac:dyDescent="0.2">
      <c r="A41" s="87" t="s">
        <v>828</v>
      </c>
      <c r="B41" s="90">
        <v>0</v>
      </c>
      <c r="C41" s="90">
        <v>0</v>
      </c>
      <c r="D41" s="90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/>
      <c r="L41" s="89">
        <v>0</v>
      </c>
      <c r="M41" s="89"/>
      <c r="N41" s="89">
        <f t="shared" si="6"/>
        <v>0</v>
      </c>
    </row>
    <row r="42" spans="1:16" hidden="1" x14ac:dyDescent="0.2">
      <c r="A42" s="87" t="s">
        <v>829</v>
      </c>
      <c r="B42" s="90">
        <v>0</v>
      </c>
      <c r="C42" s="90">
        <v>0</v>
      </c>
      <c r="D42" s="90">
        <v>0</v>
      </c>
      <c r="E42" s="89">
        <v>0</v>
      </c>
      <c r="F42" s="89">
        <v>0</v>
      </c>
      <c r="G42" s="89">
        <v>0</v>
      </c>
      <c r="H42" s="89">
        <v>0</v>
      </c>
      <c r="I42" s="89">
        <v>0</v>
      </c>
      <c r="J42" s="89">
        <v>0</v>
      </c>
      <c r="K42" s="89"/>
      <c r="L42" s="89">
        <v>0</v>
      </c>
      <c r="M42" s="89"/>
      <c r="N42" s="89">
        <f t="shared" si="6"/>
        <v>0</v>
      </c>
    </row>
    <row r="43" spans="1:16" hidden="1" x14ac:dyDescent="0.2">
      <c r="A43" s="87" t="s">
        <v>830</v>
      </c>
      <c r="B43" s="90">
        <v>0</v>
      </c>
      <c r="C43" s="90">
        <v>0</v>
      </c>
      <c r="D43" s="90">
        <v>0</v>
      </c>
      <c r="E43" s="89">
        <v>0</v>
      </c>
      <c r="F43" s="89">
        <v>0</v>
      </c>
      <c r="G43" s="89">
        <v>0</v>
      </c>
      <c r="H43" s="89">
        <v>0</v>
      </c>
      <c r="I43" s="89">
        <v>0</v>
      </c>
      <c r="J43" s="89">
        <v>0</v>
      </c>
      <c r="K43" s="89"/>
      <c r="L43" s="89">
        <v>0</v>
      </c>
      <c r="M43" s="89"/>
      <c r="N43" s="89">
        <f t="shared" si="6"/>
        <v>0</v>
      </c>
    </row>
    <row r="44" spans="1:16" hidden="1" x14ac:dyDescent="0.2">
      <c r="A44" s="87" t="s">
        <v>831</v>
      </c>
      <c r="B44" s="90">
        <v>0</v>
      </c>
      <c r="C44" s="90">
        <v>0</v>
      </c>
      <c r="D44" s="90">
        <v>0</v>
      </c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0</v>
      </c>
      <c r="K44" s="89"/>
      <c r="L44" s="89">
        <v>0</v>
      </c>
      <c r="M44" s="89"/>
      <c r="N44" s="89">
        <f t="shared" si="6"/>
        <v>0</v>
      </c>
    </row>
    <row r="45" spans="1:16" hidden="1" x14ac:dyDescent="0.2">
      <c r="A45" s="87" t="s">
        <v>832</v>
      </c>
      <c r="B45" s="90">
        <v>0</v>
      </c>
      <c r="C45" s="90">
        <v>0</v>
      </c>
      <c r="D45" s="90">
        <v>0</v>
      </c>
      <c r="E45" s="89">
        <v>0</v>
      </c>
      <c r="F45" s="89">
        <v>0</v>
      </c>
      <c r="G45" s="89">
        <v>0</v>
      </c>
      <c r="H45" s="89">
        <v>0</v>
      </c>
      <c r="I45" s="89">
        <v>0</v>
      </c>
      <c r="J45" s="89">
        <v>0</v>
      </c>
      <c r="K45" s="89"/>
      <c r="L45" s="89">
        <v>0</v>
      </c>
      <c r="M45" s="89"/>
      <c r="N45" s="89">
        <f t="shared" si="6"/>
        <v>0</v>
      </c>
    </row>
    <row r="46" spans="1:16" x14ac:dyDescent="0.2"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119"/>
    </row>
    <row r="47" spans="1:16" ht="14.25" customHeight="1" x14ac:dyDescent="0.2">
      <c r="A47" s="116" t="s">
        <v>816</v>
      </c>
      <c r="B47" s="89">
        <f>SUM(B48:B53)</f>
        <v>1968.9599999999998</v>
      </c>
      <c r="C47" s="89">
        <f t="shared" ref="C47:M47" si="7">SUM(C48:C53)</f>
        <v>104567.321626392</v>
      </c>
      <c r="D47" s="89">
        <f t="shared" si="7"/>
        <v>851411.10360000003</v>
      </c>
      <c r="E47" s="89">
        <f t="shared" si="7"/>
        <v>857062.84031999984</v>
      </c>
      <c r="F47" s="89">
        <f t="shared" si="7"/>
        <v>1247554.9907999998</v>
      </c>
      <c r="G47" s="89">
        <f>SUM(G48:G53)</f>
        <v>1425085.0284000002</v>
      </c>
      <c r="H47" s="89">
        <f t="shared" si="7"/>
        <v>2549717.2610399998</v>
      </c>
      <c r="I47" s="89">
        <f t="shared" si="7"/>
        <v>373467.09599999996</v>
      </c>
      <c r="J47" s="89">
        <f>SUM(J48:J53)</f>
        <v>409989.95256000001</v>
      </c>
      <c r="K47" s="89">
        <f>SUM(K48:K53)</f>
        <v>222759.45</v>
      </c>
      <c r="L47" s="89">
        <f t="shared" si="7"/>
        <v>540286.0254439679</v>
      </c>
      <c r="M47" s="89">
        <f t="shared" si="7"/>
        <v>452043.19992000004</v>
      </c>
      <c r="N47" s="89">
        <f>SUM(N48:N53)</f>
        <v>9035913.2297103591</v>
      </c>
    </row>
    <row r="48" spans="1:16" x14ac:dyDescent="0.2">
      <c r="A48" s="87" t="s">
        <v>820</v>
      </c>
      <c r="B48" s="91">
        <f>12*15.36</f>
        <v>184.32</v>
      </c>
      <c r="C48" s="88">
        <f>12*29.86</f>
        <v>358.32</v>
      </c>
      <c r="D48" s="91">
        <f>12*119.12</f>
        <v>1429.44</v>
      </c>
      <c r="E48" s="91">
        <f>12*69.12</f>
        <v>829.44</v>
      </c>
      <c r="F48" s="91">
        <f>12*92.16</f>
        <v>1105.92</v>
      </c>
      <c r="G48" s="91">
        <f>12*168.96</f>
        <v>2027.52</v>
      </c>
      <c r="H48" s="91">
        <f>12*184.31</f>
        <v>2211.7200000000003</v>
      </c>
      <c r="I48" s="92">
        <f>12*23.04</f>
        <v>276.48</v>
      </c>
      <c r="J48" s="92">
        <f>12*30.72</f>
        <v>368.64</v>
      </c>
      <c r="K48" s="91">
        <f>12*15.36</f>
        <v>184.32</v>
      </c>
      <c r="L48" s="92">
        <f>12*38.4</f>
        <v>460.79999999999995</v>
      </c>
      <c r="M48" s="92">
        <f>12*145.92</f>
        <v>1751.04</v>
      </c>
      <c r="N48" s="89">
        <f t="shared" ref="N48:N53" si="8">SUM(B48:M48)</f>
        <v>11187.96</v>
      </c>
    </row>
    <row r="49" spans="1:14" hidden="1" x14ac:dyDescent="0.2">
      <c r="A49" s="87" t="s">
        <v>833</v>
      </c>
      <c r="B49" s="90"/>
      <c r="C49" s="90"/>
      <c r="D49" s="90"/>
      <c r="E49" s="89"/>
      <c r="F49" s="89"/>
      <c r="G49" s="89"/>
      <c r="H49" s="89"/>
      <c r="I49" s="92"/>
      <c r="J49" s="92"/>
      <c r="K49" s="92"/>
      <c r="L49" s="89"/>
      <c r="M49" s="89"/>
      <c r="N49" s="89">
        <f t="shared" si="8"/>
        <v>0</v>
      </c>
    </row>
    <row r="50" spans="1:14" x14ac:dyDescent="0.2">
      <c r="A50" s="87" t="s">
        <v>818</v>
      </c>
      <c r="B50" s="88"/>
      <c r="C50" s="88">
        <f>12*446.16</f>
        <v>5353.92</v>
      </c>
      <c r="D50" s="92">
        <f>12*22818.95</f>
        <v>273827.40000000002</v>
      </c>
      <c r="E50" s="92">
        <f>12*22603.35</f>
        <v>271240.19999999995</v>
      </c>
      <c r="F50" s="92">
        <f>12*34043.57</f>
        <v>408522.83999999997</v>
      </c>
      <c r="G50" s="92">
        <f>12*50533.56</f>
        <v>606402.72</v>
      </c>
      <c r="H50" s="92">
        <f>12*83181.56</f>
        <v>998178.72</v>
      </c>
      <c r="I50" s="92">
        <f>12*11501.49</f>
        <v>138017.88</v>
      </c>
      <c r="J50" s="92">
        <f>12*8942.01</f>
        <v>107304.12</v>
      </c>
      <c r="K50" s="92">
        <f>12*5798.8</f>
        <v>69585.600000000006</v>
      </c>
      <c r="L50" s="92">
        <f>12*16956.17</f>
        <v>203474.03999999998</v>
      </c>
      <c r="M50" s="92">
        <f>12*11191.07</f>
        <v>134292.84</v>
      </c>
      <c r="N50" s="89">
        <f t="shared" si="8"/>
        <v>3216200.28</v>
      </c>
    </row>
    <row r="51" spans="1:14" x14ac:dyDescent="0.2">
      <c r="A51" s="87" t="s">
        <v>819</v>
      </c>
      <c r="B51" s="88"/>
      <c r="C51" s="88">
        <f>12*7791.763468866</f>
        <v>93501.161626392</v>
      </c>
      <c r="D51" s="92">
        <f>12*46674.3753</f>
        <v>560092.50359999994</v>
      </c>
      <c r="E51" s="92">
        <f>12*47459.67336</f>
        <v>569516.08031999995</v>
      </c>
      <c r="F51" s="92">
        <f>12*67893.8229</f>
        <v>814725.87479999999</v>
      </c>
      <c r="G51" s="92">
        <f>12*64856.7657</f>
        <v>778281.1884000001</v>
      </c>
      <c r="H51" s="92">
        <f>12*125541.28842</f>
        <v>1506495.46104</v>
      </c>
      <c r="I51" s="92">
        <f>12*19151.568</f>
        <v>229818.81599999999</v>
      </c>
      <c r="J51" s="92">
        <f>12*24598.21938</f>
        <v>295178.63256</v>
      </c>
      <c r="K51" s="92">
        <f>12*12451.6875</f>
        <v>149420.25</v>
      </c>
      <c r="L51" s="92">
        <f>12*27285.665453664</f>
        <v>327427.98544396803</v>
      </c>
      <c r="M51" s="92">
        <f>12*23509.95666</f>
        <v>282119.47992000001</v>
      </c>
      <c r="N51" s="89">
        <f t="shared" si="8"/>
        <v>5606577.433710359</v>
      </c>
    </row>
    <row r="52" spans="1:14" x14ac:dyDescent="0.2">
      <c r="A52" s="87" t="s">
        <v>817</v>
      </c>
      <c r="B52" s="92">
        <f>12*148.72</f>
        <v>1784.6399999999999</v>
      </c>
      <c r="C52" s="88">
        <f>12*446.16</f>
        <v>5353.92</v>
      </c>
      <c r="D52" s="92">
        <f>12*1338.48</f>
        <v>16061.76</v>
      </c>
      <c r="E52" s="92">
        <f>12*1289.76</f>
        <v>15477.119999999999</v>
      </c>
      <c r="F52" s="92">
        <f>12*1933.363</f>
        <v>23200.356</v>
      </c>
      <c r="G52" s="92">
        <f>12*3197.8</f>
        <v>38373.600000000006</v>
      </c>
      <c r="H52" s="92">
        <f>12*3569.28</f>
        <v>42831.360000000001</v>
      </c>
      <c r="I52" s="92">
        <f>12*446.16</f>
        <v>5353.92</v>
      </c>
      <c r="J52" s="92">
        <f>12*594.88</f>
        <v>7138.5599999999995</v>
      </c>
      <c r="K52" s="92">
        <f>12*297.44</f>
        <v>3569.2799999999997</v>
      </c>
      <c r="L52" s="92">
        <f>12*743.6</f>
        <v>8923.2000000000007</v>
      </c>
      <c r="M52" s="93">
        <f>12*2823.32</f>
        <v>33879.840000000004</v>
      </c>
      <c r="N52" s="89">
        <f t="shared" si="8"/>
        <v>201947.55600000001</v>
      </c>
    </row>
    <row r="53" spans="1:14" x14ac:dyDescent="0.2">
      <c r="A53" s="120" t="s">
        <v>834</v>
      </c>
      <c r="B53" s="121"/>
      <c r="C53" s="121"/>
      <c r="D53" s="121"/>
      <c r="E53" s="89"/>
      <c r="F53" s="89"/>
      <c r="G53" s="89"/>
      <c r="H53" s="89"/>
      <c r="I53" s="89"/>
      <c r="J53" s="89"/>
      <c r="K53" s="89"/>
      <c r="L53" s="91"/>
      <c r="M53" s="93"/>
      <c r="N53" s="89">
        <f t="shared" si="8"/>
        <v>0</v>
      </c>
    </row>
    <row r="54" spans="1:14" x14ac:dyDescent="0.2">
      <c r="B54" s="113">
        <f t="shared" ref="B54:N54" si="9">B47+B32</f>
        <v>453560.85054000007</v>
      </c>
      <c r="C54" s="113">
        <f t="shared" si="9"/>
        <v>1431952.4812663917</v>
      </c>
      <c r="D54" s="113">
        <f t="shared" si="9"/>
        <v>6059948.3743199995</v>
      </c>
      <c r="E54" s="113">
        <f t="shared" si="9"/>
        <v>4811660.7977399994</v>
      </c>
      <c r="F54" s="113">
        <f t="shared" si="9"/>
        <v>6432457.8765599998</v>
      </c>
      <c r="G54" s="113">
        <f t="shared" si="9"/>
        <v>6367048.5775799993</v>
      </c>
      <c r="H54" s="113">
        <f t="shared" si="9"/>
        <v>14542063.876019999</v>
      </c>
      <c r="I54" s="113">
        <f t="shared" si="9"/>
        <v>1883830.16466</v>
      </c>
      <c r="J54" s="113">
        <f t="shared" si="9"/>
        <v>2560722.3513600002</v>
      </c>
      <c r="K54" s="113">
        <f t="shared" si="9"/>
        <v>1506683.21844</v>
      </c>
      <c r="L54" s="113">
        <f t="shared" si="9"/>
        <v>2774207.9677039678</v>
      </c>
      <c r="M54" s="113">
        <f t="shared" si="9"/>
        <v>2143410.6306600003</v>
      </c>
      <c r="N54" s="113">
        <f t="shared" si="9"/>
        <v>50967547.166850358</v>
      </c>
    </row>
    <row r="55" spans="1:14" x14ac:dyDescent="0.2">
      <c r="E55" s="118"/>
    </row>
    <row r="56" spans="1:14" x14ac:dyDescent="0.2">
      <c r="N56" s="122">
        <f>N4+N30+N54</f>
        <v>65488037.926850356</v>
      </c>
    </row>
    <row r="57" spans="1:14" x14ac:dyDescent="0.2">
      <c r="E57" s="118">
        <f>E30+E54</f>
        <v>6316215.397739999</v>
      </c>
      <c r="F57" s="118">
        <f>F30+F54</f>
        <v>7681397.5565599995</v>
      </c>
      <c r="G57" s="118">
        <f>G30+G54</f>
        <v>7580416.5775799993</v>
      </c>
      <c r="H57" s="118"/>
    </row>
    <row r="59" spans="1:14" x14ac:dyDescent="0.2">
      <c r="E59" s="123"/>
    </row>
    <row r="61" spans="1:14" x14ac:dyDescent="0.2">
      <c r="E61" s="118"/>
      <c r="H61" s="118"/>
    </row>
  </sheetData>
  <pageMargins left="0.7" right="0.7" top="0.75" bottom="0.75" header="0.3" footer="0.3"/>
  <pageSetup paperSize="9"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1C67-CE6E-40A1-BCA8-3A29DF78BECD}">
  <sheetPr>
    <tabColor rgb="FF7030A0"/>
  </sheetPr>
  <dimension ref="A1:P42"/>
  <sheetViews>
    <sheetView topLeftCell="B1" zoomScale="80" zoomScaleNormal="80" zoomScaleSheetLayoutView="90" workbookViewId="0">
      <pane ySplit="7" topLeftCell="A15" activePane="bottomLeft" state="frozen"/>
      <selection activeCell="B1" sqref="B1"/>
      <selection pane="bottomLeft" activeCell="Q26" sqref="Q26"/>
    </sheetView>
  </sheetViews>
  <sheetFormatPr defaultColWidth="9.140625" defaultRowHeight="15.75" x14ac:dyDescent="0.25"/>
  <cols>
    <col min="1" max="1" width="54.140625" style="240" hidden="1" customWidth="1"/>
    <col min="2" max="2" width="47.85546875" style="240" customWidth="1"/>
    <col min="3" max="3" width="30.85546875" style="393" hidden="1" customWidth="1"/>
    <col min="4" max="4" width="32.85546875" style="394" hidden="1" customWidth="1"/>
    <col min="5" max="5" width="17.5703125" style="393" hidden="1" customWidth="1"/>
    <col min="6" max="6" width="17.5703125" style="241" customWidth="1"/>
    <col min="7" max="8" width="17.5703125" style="241" hidden="1" customWidth="1"/>
    <col min="9" max="13" width="17.5703125" style="241" customWidth="1"/>
    <col min="14" max="16384" width="9.140625" style="282"/>
  </cols>
  <sheetData>
    <row r="1" spans="1:13" ht="32.25" hidden="1" customHeight="1" x14ac:dyDescent="0.25">
      <c r="A1" s="398" t="s">
        <v>486</v>
      </c>
      <c r="B1" s="400"/>
      <c r="C1" s="449"/>
      <c r="D1" s="450"/>
      <c r="E1" s="449"/>
    </row>
    <row r="2" spans="1:13" hidden="1" x14ac:dyDescent="0.25">
      <c r="A2" s="399" t="s">
        <v>0</v>
      </c>
      <c r="B2" s="400"/>
      <c r="C2" s="449"/>
      <c r="D2" s="450"/>
      <c r="E2" s="449"/>
    </row>
    <row r="3" spans="1:13" hidden="1" x14ac:dyDescent="0.25">
      <c r="A3" s="400"/>
      <c r="B3" s="451"/>
      <c r="C3" s="451"/>
      <c r="D3" s="452"/>
      <c r="E3" s="451"/>
    </row>
    <row r="4" spans="1:13" ht="18.399999999999999" customHeight="1" x14ac:dyDescent="0.25">
      <c r="A4" s="400"/>
      <c r="B4" s="922" t="s">
        <v>1012</v>
      </c>
      <c r="C4" s="922"/>
      <c r="D4" s="922"/>
      <c r="E4" s="922"/>
      <c r="F4" s="922"/>
      <c r="G4" s="922"/>
      <c r="H4" s="922"/>
      <c r="I4" s="922"/>
      <c r="J4" s="922"/>
      <c r="K4" s="922"/>
      <c r="L4" s="922"/>
      <c r="M4" s="922"/>
    </row>
    <row r="5" spans="1:13" ht="18.399999999999999" customHeight="1" x14ac:dyDescent="0.25">
      <c r="A5" s="400"/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</row>
    <row r="6" spans="1:13" ht="18.399999999999999" customHeight="1" thickBot="1" x14ac:dyDescent="0.3">
      <c r="A6" s="400"/>
      <c r="B6" s="923"/>
      <c r="C6" s="924"/>
      <c r="D6" s="924"/>
      <c r="E6" s="924"/>
      <c r="F6" s="924"/>
      <c r="G6" s="924"/>
      <c r="H6" s="924"/>
      <c r="I6" s="924"/>
      <c r="J6" s="924"/>
      <c r="K6" s="924"/>
      <c r="L6" s="924"/>
      <c r="M6" s="924"/>
    </row>
    <row r="7" spans="1:13" ht="51" customHeight="1" thickBot="1" x14ac:dyDescent="0.3">
      <c r="A7" s="453" t="s">
        <v>2</v>
      </c>
      <c r="B7" s="454"/>
      <c r="C7" s="455" t="s">
        <v>1030</v>
      </c>
      <c r="D7" s="456" t="s">
        <v>306</v>
      </c>
      <c r="E7" s="456" t="s">
        <v>1032</v>
      </c>
      <c r="F7" s="214" t="s">
        <v>1028</v>
      </c>
      <c r="G7" s="214" t="s">
        <v>983</v>
      </c>
      <c r="H7" s="214" t="s">
        <v>1027</v>
      </c>
      <c r="I7" s="214" t="s">
        <v>631</v>
      </c>
      <c r="J7" s="214" t="s">
        <v>1275</v>
      </c>
      <c r="K7" s="304" t="s">
        <v>932</v>
      </c>
      <c r="L7" s="304" t="s">
        <v>996</v>
      </c>
      <c r="M7" s="215" t="s">
        <v>1305</v>
      </c>
    </row>
    <row r="8" spans="1:13" x14ac:dyDescent="0.25">
      <c r="A8" s="131" t="s">
        <v>3</v>
      </c>
      <c r="B8" s="306" t="s">
        <v>548</v>
      </c>
      <c r="C8" s="437"/>
      <c r="D8" s="373"/>
      <c r="E8" s="436"/>
      <c r="F8" s="313"/>
      <c r="G8" s="311"/>
      <c r="H8" s="311"/>
      <c r="I8" s="311"/>
      <c r="J8" s="311"/>
      <c r="K8" s="457"/>
      <c r="L8" s="238"/>
      <c r="M8" s="238"/>
    </row>
    <row r="9" spans="1:13" x14ac:dyDescent="0.25">
      <c r="A9" s="131"/>
      <c r="B9" s="306" t="s">
        <v>549</v>
      </c>
      <c r="C9" s="307"/>
      <c r="D9" s="309"/>
      <c r="E9" s="378"/>
      <c r="F9" s="313"/>
      <c r="G9" s="311"/>
      <c r="H9" s="311"/>
      <c r="I9" s="311"/>
      <c r="J9" s="311"/>
      <c r="K9" s="457"/>
      <c r="L9" s="238"/>
      <c r="M9" s="238"/>
    </row>
    <row r="10" spans="1:13" x14ac:dyDescent="0.25">
      <c r="A10" s="15" t="s">
        <v>41</v>
      </c>
      <c r="B10" s="15" t="s">
        <v>11</v>
      </c>
      <c r="C10" s="314"/>
      <c r="D10" s="318"/>
      <c r="E10" s="458"/>
      <c r="F10" s="313">
        <v>1084548</v>
      </c>
      <c r="G10" s="311">
        <v>179316</v>
      </c>
      <c r="H10" s="311">
        <f>SUM(F10-G10)</f>
        <v>905232</v>
      </c>
      <c r="I10" s="311">
        <f>53994.6002399998+214108</f>
        <v>268102.60023999983</v>
      </c>
      <c r="J10" s="311">
        <f>SUM(F10+I10)</f>
        <v>1352650.6002399998</v>
      </c>
      <c r="K10" s="325">
        <v>538525.46979820938</v>
      </c>
      <c r="L10" s="238">
        <f>K10*1.044</f>
        <v>562220.59046933067</v>
      </c>
      <c r="M10" s="238">
        <f>L10*1.045</f>
        <v>587520.51704045048</v>
      </c>
    </row>
    <row r="11" spans="1:13" x14ac:dyDescent="0.25">
      <c r="A11" s="15" t="s">
        <v>44</v>
      </c>
      <c r="B11" s="15" t="s">
        <v>25</v>
      </c>
      <c r="C11" s="314"/>
      <c r="D11" s="318"/>
      <c r="E11" s="458"/>
      <c r="F11" s="313">
        <v>7200</v>
      </c>
      <c r="G11" s="311">
        <v>4000</v>
      </c>
      <c r="H11" s="311">
        <f t="shared" ref="H11:H16" si="0">SUM(F11-G11)</f>
        <v>3200</v>
      </c>
      <c r="I11" s="311">
        <f>12000+5000</f>
        <v>17000</v>
      </c>
      <c r="J11" s="311">
        <f t="shared" ref="J11:J16" si="1">SUM(F11+I11)</f>
        <v>24200</v>
      </c>
      <c r="K11" s="325">
        <v>12000</v>
      </c>
      <c r="L11" s="238">
        <v>12000</v>
      </c>
      <c r="M11" s="238">
        <v>12000</v>
      </c>
    </row>
    <row r="12" spans="1:13" hidden="1" x14ac:dyDescent="0.25">
      <c r="A12" s="15"/>
      <c r="B12" s="459" t="s">
        <v>27</v>
      </c>
      <c r="C12" s="314"/>
      <c r="D12" s="318"/>
      <c r="E12" s="458"/>
      <c r="F12" s="313"/>
      <c r="G12" s="311"/>
      <c r="H12" s="311"/>
      <c r="I12" s="311"/>
      <c r="J12" s="311"/>
      <c r="K12" s="325">
        <v>0</v>
      </c>
      <c r="L12" s="238">
        <v>0</v>
      </c>
      <c r="M12" s="238">
        <v>0</v>
      </c>
    </row>
    <row r="13" spans="1:13" x14ac:dyDescent="0.25">
      <c r="A13" s="15" t="s">
        <v>384</v>
      </c>
      <c r="B13" s="15" t="s">
        <v>31</v>
      </c>
      <c r="C13" s="314"/>
      <c r="D13" s="318"/>
      <c r="E13" s="458"/>
      <c r="F13" s="313">
        <v>90379</v>
      </c>
      <c r="G13" s="311">
        <v>0</v>
      </c>
      <c r="H13" s="311">
        <f t="shared" si="0"/>
        <v>90379</v>
      </c>
      <c r="I13" s="311">
        <v>-90379</v>
      </c>
      <c r="J13" s="311">
        <f t="shared" si="1"/>
        <v>0</v>
      </c>
      <c r="K13" s="325">
        <v>0</v>
      </c>
      <c r="L13" s="238">
        <v>0</v>
      </c>
      <c r="M13" s="238">
        <v>0</v>
      </c>
    </row>
    <row r="14" spans="1:13" x14ac:dyDescent="0.25">
      <c r="A14" s="15"/>
      <c r="B14" s="460" t="s">
        <v>545</v>
      </c>
      <c r="C14" s="461"/>
      <c r="D14" s="462"/>
      <c r="E14" s="463"/>
      <c r="F14" s="464">
        <v>6844</v>
      </c>
      <c r="G14" s="465"/>
      <c r="H14" s="311">
        <f t="shared" si="0"/>
        <v>6844</v>
      </c>
      <c r="I14" s="465">
        <v>6844</v>
      </c>
      <c r="J14" s="465">
        <f t="shared" si="1"/>
        <v>13688</v>
      </c>
      <c r="K14" s="325">
        <v>0</v>
      </c>
      <c r="L14" s="238">
        <v>0</v>
      </c>
      <c r="M14" s="238">
        <v>0</v>
      </c>
    </row>
    <row r="15" spans="1:13" x14ac:dyDescent="0.25">
      <c r="A15" s="15" t="s">
        <v>385</v>
      </c>
      <c r="B15" s="15" t="s">
        <v>123</v>
      </c>
      <c r="C15" s="314"/>
      <c r="D15" s="318"/>
      <c r="E15" s="458"/>
      <c r="F15" s="313">
        <v>4925.8500000000004</v>
      </c>
      <c r="G15" s="311">
        <v>101236</v>
      </c>
      <c r="H15" s="311">
        <f t="shared" si="0"/>
        <v>-96310.15</v>
      </c>
      <c r="I15" s="311">
        <v>96310</v>
      </c>
      <c r="J15" s="311">
        <f t="shared" si="1"/>
        <v>101235.85</v>
      </c>
      <c r="K15" s="325">
        <v>0</v>
      </c>
      <c r="L15" s="238">
        <v>0</v>
      </c>
      <c r="M15" s="238">
        <v>0</v>
      </c>
    </row>
    <row r="16" spans="1:13" x14ac:dyDescent="0.25">
      <c r="A16" s="191"/>
      <c r="B16" s="360" t="s">
        <v>328</v>
      </c>
      <c r="C16" s="420"/>
      <c r="D16" s="466"/>
      <c r="E16" s="467"/>
      <c r="F16" s="422">
        <v>0</v>
      </c>
      <c r="G16" s="423"/>
      <c r="H16" s="311">
        <f t="shared" si="0"/>
        <v>0</v>
      </c>
      <c r="I16" s="423">
        <v>0</v>
      </c>
      <c r="J16" s="423">
        <f t="shared" si="1"/>
        <v>0</v>
      </c>
      <c r="K16" s="326">
        <v>0</v>
      </c>
      <c r="L16" s="348">
        <v>0</v>
      </c>
      <c r="M16" s="348">
        <v>0</v>
      </c>
    </row>
    <row r="17" spans="1:16" ht="16.5" thickBot="1" x14ac:dyDescent="0.3">
      <c r="A17" s="15"/>
      <c r="B17" s="306" t="s">
        <v>552</v>
      </c>
      <c r="C17" s="350"/>
      <c r="D17" s="351"/>
      <c r="E17" s="350"/>
      <c r="F17" s="468">
        <f t="shared" ref="F17:M17" si="2">SUM(F10:F16)</f>
        <v>1193896.8500000001</v>
      </c>
      <c r="G17" s="469">
        <f t="shared" si="2"/>
        <v>284552</v>
      </c>
      <c r="H17" s="469">
        <f t="shared" si="2"/>
        <v>909344.85</v>
      </c>
      <c r="I17" s="469">
        <f t="shared" si="2"/>
        <v>297877.60023999983</v>
      </c>
      <c r="J17" s="469">
        <f t="shared" si="2"/>
        <v>1491774.4502399999</v>
      </c>
      <c r="K17" s="470">
        <f t="shared" si="2"/>
        <v>550525.46979820938</v>
      </c>
      <c r="L17" s="470">
        <f t="shared" si="2"/>
        <v>574220.59046933067</v>
      </c>
      <c r="M17" s="470">
        <f t="shared" si="2"/>
        <v>599520.51704045048</v>
      </c>
      <c r="N17" s="471"/>
    </row>
    <row r="18" spans="1:16" ht="16.5" thickBot="1" x14ac:dyDescent="0.3">
      <c r="A18" s="15"/>
      <c r="B18" s="306"/>
      <c r="C18" s="458"/>
      <c r="D18" s="472"/>
      <c r="E18" s="458"/>
      <c r="F18" s="473"/>
      <c r="G18" s="474"/>
      <c r="H18" s="474"/>
      <c r="I18" s="474"/>
      <c r="J18" s="474"/>
      <c r="K18" s="475"/>
      <c r="L18" s="475"/>
      <c r="M18" s="475"/>
    </row>
    <row r="19" spans="1:16" s="479" customFormat="1" x14ac:dyDescent="0.25">
      <c r="A19" s="316"/>
      <c r="B19" s="306" t="s">
        <v>553</v>
      </c>
      <c r="C19" s="476"/>
      <c r="D19" s="477"/>
      <c r="E19" s="476"/>
      <c r="F19" s="346"/>
      <c r="G19" s="346"/>
      <c r="H19" s="346"/>
      <c r="I19" s="346"/>
      <c r="J19" s="346"/>
      <c r="K19" s="478"/>
      <c r="L19" s="358"/>
      <c r="M19" s="358"/>
    </row>
    <row r="20" spans="1:16" x14ac:dyDescent="0.25">
      <c r="A20" s="191"/>
      <c r="B20" s="191" t="s">
        <v>13</v>
      </c>
      <c r="C20" s="438"/>
      <c r="D20" s="480"/>
      <c r="E20" s="481"/>
      <c r="F20" s="238">
        <v>119</v>
      </c>
      <c r="G20" s="325">
        <v>40.4</v>
      </c>
      <c r="H20" s="325">
        <f>SUM(F20-G20)</f>
        <v>78.599999999999994</v>
      </c>
      <c r="I20" s="325">
        <v>5</v>
      </c>
      <c r="J20" s="325">
        <f>SUM(F20+I20)</f>
        <v>124</v>
      </c>
      <c r="K20" s="457">
        <v>124</v>
      </c>
      <c r="L20" s="238">
        <v>124</v>
      </c>
      <c r="M20" s="238">
        <v>124</v>
      </c>
    </row>
    <row r="21" spans="1:16" x14ac:dyDescent="0.25">
      <c r="A21" s="15"/>
      <c r="B21" s="240" t="s">
        <v>15</v>
      </c>
      <c r="C21" s="307"/>
      <c r="D21" s="384"/>
      <c r="E21" s="378"/>
      <c r="F21" s="313">
        <v>0</v>
      </c>
      <c r="G21" s="311">
        <v>0</v>
      </c>
      <c r="H21" s="311">
        <f t="shared" ref="H21:H22" si="3">SUM(F21-G21)</f>
        <v>0</v>
      </c>
      <c r="I21" s="311">
        <v>0</v>
      </c>
      <c r="J21" s="311">
        <f t="shared" ref="J21:J22" si="4">SUM(F21+I21)</f>
        <v>0</v>
      </c>
      <c r="K21" s="457">
        <v>50552</v>
      </c>
      <c r="L21" s="238">
        <v>55607</v>
      </c>
      <c r="M21" s="238">
        <v>61168</v>
      </c>
    </row>
    <row r="22" spans="1:16" x14ac:dyDescent="0.25">
      <c r="A22" s="15"/>
      <c r="B22" s="15" t="s">
        <v>19</v>
      </c>
      <c r="C22" s="482"/>
      <c r="D22" s="483"/>
      <c r="E22" s="484"/>
      <c r="F22" s="347">
        <v>3569</v>
      </c>
      <c r="G22" s="345">
        <v>594.88</v>
      </c>
      <c r="H22" s="345">
        <f t="shared" si="3"/>
        <v>2974.12</v>
      </c>
      <c r="I22" s="345">
        <v>4</v>
      </c>
      <c r="J22" s="345">
        <f t="shared" si="4"/>
        <v>3573</v>
      </c>
      <c r="K22" s="485">
        <v>1785</v>
      </c>
      <c r="L22" s="326">
        <v>1785</v>
      </c>
      <c r="M22" s="326">
        <v>1785</v>
      </c>
    </row>
    <row r="23" spans="1:16" x14ac:dyDescent="0.25">
      <c r="A23" s="15"/>
      <c r="B23" s="306" t="s">
        <v>554</v>
      </c>
      <c r="C23" s="482"/>
      <c r="D23" s="483"/>
      <c r="E23" s="484"/>
      <c r="F23" s="331">
        <f t="shared" ref="F23:M23" si="5">SUM(F20:F22)</f>
        <v>3688</v>
      </c>
      <c r="G23" s="413">
        <f t="shared" si="5"/>
        <v>635.28</v>
      </c>
      <c r="H23" s="413">
        <f t="shared" si="5"/>
        <v>3052.72</v>
      </c>
      <c r="I23" s="413">
        <f t="shared" si="5"/>
        <v>9</v>
      </c>
      <c r="J23" s="413">
        <f t="shared" si="5"/>
        <v>3697</v>
      </c>
      <c r="K23" s="486">
        <f t="shared" si="5"/>
        <v>52461</v>
      </c>
      <c r="L23" s="414">
        <f t="shared" si="5"/>
        <v>57516</v>
      </c>
      <c r="M23" s="414">
        <f t="shared" si="5"/>
        <v>63077</v>
      </c>
    </row>
    <row r="24" spans="1:16" ht="16.5" thickBot="1" x14ac:dyDescent="0.3">
      <c r="A24" s="15"/>
      <c r="B24" s="306" t="s">
        <v>555</v>
      </c>
      <c r="C24" s="350"/>
      <c r="D24" s="351"/>
      <c r="E24" s="350"/>
      <c r="F24" s="487">
        <f t="shared" ref="F24:M24" si="6">F17+F23</f>
        <v>1197584.8500000001</v>
      </c>
      <c r="G24" s="353">
        <f t="shared" si="6"/>
        <v>285187.28000000003</v>
      </c>
      <c r="H24" s="353">
        <f t="shared" si="6"/>
        <v>912397.57</v>
      </c>
      <c r="I24" s="353">
        <f t="shared" si="6"/>
        <v>297886.60023999983</v>
      </c>
      <c r="J24" s="353">
        <f t="shared" si="6"/>
        <v>1495471.4502399999</v>
      </c>
      <c r="K24" s="354">
        <f>K17+K23</f>
        <v>602986.46979820938</v>
      </c>
      <c r="L24" s="354">
        <f t="shared" si="6"/>
        <v>631736.59046933067</v>
      </c>
      <c r="M24" s="354">
        <f t="shared" si="6"/>
        <v>662597.51704045048</v>
      </c>
      <c r="O24" s="471"/>
      <c r="P24" s="488"/>
    </row>
    <row r="25" spans="1:16" x14ac:dyDescent="0.25">
      <c r="A25" s="15"/>
      <c r="B25" s="15"/>
      <c r="C25" s="131"/>
      <c r="D25" s="334"/>
      <c r="E25" s="131"/>
      <c r="F25" s="489"/>
      <c r="G25" s="312"/>
      <c r="H25" s="312"/>
      <c r="I25" s="312"/>
      <c r="J25" s="312"/>
      <c r="K25" s="239"/>
      <c r="L25" s="336"/>
      <c r="M25" s="336"/>
    </row>
    <row r="26" spans="1:16" x14ac:dyDescent="0.25">
      <c r="A26" s="15"/>
      <c r="B26" s="306" t="s">
        <v>559</v>
      </c>
      <c r="C26" s="131"/>
      <c r="D26" s="334"/>
      <c r="E26" s="131"/>
      <c r="F26" s="489"/>
      <c r="K26" s="336"/>
      <c r="L26" s="336"/>
      <c r="M26" s="336"/>
    </row>
    <row r="27" spans="1:16" x14ac:dyDescent="0.25">
      <c r="A27" s="16" t="s">
        <v>386</v>
      </c>
      <c r="B27" s="16" t="s">
        <v>378</v>
      </c>
      <c r="C27" s="426"/>
      <c r="D27" s="490"/>
      <c r="E27" s="491"/>
      <c r="F27" s="341">
        <v>4925.45</v>
      </c>
      <c r="G27" s="339">
        <v>1338.86</v>
      </c>
      <c r="H27" s="339">
        <f>SUM(F27-G27)</f>
        <v>3586.59</v>
      </c>
      <c r="I27" s="339">
        <v>2396</v>
      </c>
      <c r="J27" s="339">
        <f>SUM(F27+I27)</f>
        <v>7321.45</v>
      </c>
      <c r="K27" s="359">
        <f t="shared" ref="K27:K28" si="7">J27*1.048</f>
        <v>7672.8796000000002</v>
      </c>
      <c r="L27" s="344">
        <f t="shared" ref="L27:L28" si="8">K27*1.044</f>
        <v>8010.4863024000006</v>
      </c>
      <c r="M27" s="344">
        <f t="shared" ref="M27:M28" si="9">L27*1.045</f>
        <v>8370.9581860079998</v>
      </c>
    </row>
    <row r="28" spans="1:16" x14ac:dyDescent="0.25">
      <c r="A28" s="16" t="s">
        <v>387</v>
      </c>
      <c r="B28" s="16" t="s">
        <v>319</v>
      </c>
      <c r="C28" s="428"/>
      <c r="D28" s="492"/>
      <c r="E28" s="493"/>
      <c r="F28" s="347">
        <v>0</v>
      </c>
      <c r="G28" s="311">
        <v>4017.49</v>
      </c>
      <c r="H28" s="311">
        <f>SUM(F28-G28)</f>
        <v>-4017.49</v>
      </c>
      <c r="I28" s="311">
        <v>4017</v>
      </c>
      <c r="J28" s="311">
        <f>SUM(F28+I28)</f>
        <v>4017</v>
      </c>
      <c r="K28" s="325">
        <f t="shared" si="7"/>
        <v>4209.8159999999998</v>
      </c>
      <c r="L28" s="238">
        <f t="shared" si="8"/>
        <v>4395.047904</v>
      </c>
      <c r="M28" s="348">
        <f t="shared" si="9"/>
        <v>4592.8250596799999</v>
      </c>
    </row>
    <row r="29" spans="1:16" x14ac:dyDescent="0.25">
      <c r="A29" s="15"/>
      <c r="B29" s="306" t="s">
        <v>566</v>
      </c>
      <c r="C29" s="328"/>
      <c r="D29" s="494"/>
      <c r="E29" s="495"/>
      <c r="F29" s="496">
        <f t="shared" ref="F29:M29" si="10">SUM(F27:F28)</f>
        <v>4925.45</v>
      </c>
      <c r="G29" s="496">
        <f t="shared" si="10"/>
        <v>5356.3499999999995</v>
      </c>
      <c r="H29" s="496">
        <f t="shared" si="10"/>
        <v>-430.89999999999964</v>
      </c>
      <c r="I29" s="496">
        <f t="shared" si="10"/>
        <v>6413</v>
      </c>
      <c r="J29" s="496">
        <f t="shared" si="10"/>
        <v>11338.45</v>
      </c>
      <c r="K29" s="497">
        <f t="shared" si="10"/>
        <v>11882.695599999999</v>
      </c>
      <c r="L29" s="497">
        <f t="shared" si="10"/>
        <v>12405.5342064</v>
      </c>
      <c r="M29" s="497">
        <f t="shared" si="10"/>
        <v>12963.783245687999</v>
      </c>
    </row>
    <row r="30" spans="1:16" x14ac:dyDescent="0.25">
      <c r="A30" s="131"/>
      <c r="F30" s="489"/>
      <c r="K30" s="336"/>
      <c r="L30" s="336"/>
      <c r="M30" s="336"/>
    </row>
    <row r="31" spans="1:16" x14ac:dyDescent="0.25">
      <c r="A31" s="131"/>
      <c r="B31" s="306" t="s">
        <v>569</v>
      </c>
      <c r="F31" s="489"/>
      <c r="K31" s="336"/>
      <c r="L31" s="336"/>
      <c r="M31" s="336"/>
    </row>
    <row r="32" spans="1:16" ht="18.95" customHeight="1" x14ac:dyDescent="0.25">
      <c r="A32" s="15" t="s">
        <v>39</v>
      </c>
      <c r="B32" s="15" t="s">
        <v>5</v>
      </c>
      <c r="C32" s="305" t="s">
        <v>313</v>
      </c>
      <c r="D32" s="338" t="s">
        <v>1096</v>
      </c>
      <c r="E32" s="498" t="s">
        <v>1093</v>
      </c>
      <c r="F32" s="344">
        <f>F24*1/100</f>
        <v>11975.8485</v>
      </c>
      <c r="G32" s="359">
        <v>0</v>
      </c>
      <c r="H32" s="359">
        <f t="shared" ref="H32:H38" si="11">SUM(F32-G32)</f>
        <v>11975.8485</v>
      </c>
      <c r="I32" s="359">
        <v>0</v>
      </c>
      <c r="J32" s="359">
        <f t="shared" ref="J32:J38" si="12">SUM(F32+I32)</f>
        <v>11975.8485</v>
      </c>
      <c r="K32" s="359">
        <f>K24*1/100</f>
        <v>6029.8646979820942</v>
      </c>
      <c r="L32" s="359">
        <f>L24*1/100</f>
        <v>6317.3659046933062</v>
      </c>
      <c r="M32" s="359">
        <f t="shared" ref="M32" si="13">M24*1/100</f>
        <v>6625.9751704045048</v>
      </c>
    </row>
    <row r="33" spans="1:14" ht="18.95" customHeight="1" x14ac:dyDescent="0.25">
      <c r="A33" s="15"/>
      <c r="B33" s="15" t="s">
        <v>1313</v>
      </c>
      <c r="C33" s="314"/>
      <c r="D33" s="318"/>
      <c r="E33" s="472"/>
      <c r="F33" s="238"/>
      <c r="G33" s="325"/>
      <c r="H33" s="325"/>
      <c r="I33" s="325"/>
      <c r="J33" s="325"/>
      <c r="K33" s="325">
        <v>2000</v>
      </c>
      <c r="L33" s="325">
        <v>2000</v>
      </c>
      <c r="M33" s="325">
        <v>2000</v>
      </c>
    </row>
    <row r="34" spans="1:14" ht="18.75" customHeight="1" x14ac:dyDescent="0.25">
      <c r="A34" s="15" t="s">
        <v>40</v>
      </c>
      <c r="B34" s="15" t="s">
        <v>43</v>
      </c>
      <c r="C34" s="314" t="s">
        <v>313</v>
      </c>
      <c r="D34" s="318" t="s">
        <v>1101</v>
      </c>
      <c r="E34" s="472" t="s">
        <v>1093</v>
      </c>
      <c r="F34" s="238">
        <v>14528</v>
      </c>
      <c r="G34" s="325">
        <v>0</v>
      </c>
      <c r="H34" s="325">
        <f t="shared" si="11"/>
        <v>14528</v>
      </c>
      <c r="I34" s="325">
        <v>0</v>
      </c>
      <c r="J34" s="325">
        <f t="shared" si="12"/>
        <v>14528</v>
      </c>
      <c r="K34" s="325">
        <f>J34*1.048</f>
        <v>15225.344000000001</v>
      </c>
      <c r="L34" s="238">
        <f>K34*1.044</f>
        <v>15895.259136000002</v>
      </c>
      <c r="M34" s="238">
        <f>L34*1.045</f>
        <v>16610.545797120001</v>
      </c>
    </row>
    <row r="35" spans="1:14" ht="31.5" hidden="1" x14ac:dyDescent="0.25">
      <c r="A35" s="15" t="s">
        <v>42</v>
      </c>
      <c r="B35" s="15" t="s">
        <v>339</v>
      </c>
      <c r="C35" s="314" t="s">
        <v>313</v>
      </c>
      <c r="D35" s="318"/>
      <c r="E35" s="472" t="s">
        <v>1093</v>
      </c>
      <c r="F35" s="238">
        <v>0</v>
      </c>
      <c r="G35" s="325">
        <v>0</v>
      </c>
      <c r="H35" s="325">
        <f t="shared" si="11"/>
        <v>0</v>
      </c>
      <c r="I35" s="325">
        <v>0</v>
      </c>
      <c r="J35" s="325">
        <f t="shared" si="12"/>
        <v>0</v>
      </c>
      <c r="K35" s="325">
        <v>0</v>
      </c>
      <c r="L35" s="238">
        <v>0</v>
      </c>
      <c r="M35" s="238">
        <v>0</v>
      </c>
    </row>
    <row r="36" spans="1:14" ht="47.25" hidden="1" x14ac:dyDescent="0.25">
      <c r="A36" s="15" t="s">
        <v>388</v>
      </c>
      <c r="B36" s="15" t="s">
        <v>381</v>
      </c>
      <c r="C36" s="314" t="s">
        <v>313</v>
      </c>
      <c r="D36" s="318" t="s">
        <v>1148</v>
      </c>
      <c r="E36" s="472" t="s">
        <v>1093</v>
      </c>
      <c r="F36" s="238">
        <v>0</v>
      </c>
      <c r="G36" s="325">
        <v>0</v>
      </c>
      <c r="H36" s="325">
        <f t="shared" si="11"/>
        <v>0</v>
      </c>
      <c r="I36" s="325">
        <v>0</v>
      </c>
      <c r="J36" s="325">
        <f t="shared" si="12"/>
        <v>0</v>
      </c>
      <c r="K36" s="325">
        <v>0</v>
      </c>
      <c r="L36" s="238">
        <v>0</v>
      </c>
      <c r="M36" s="238">
        <v>0</v>
      </c>
    </row>
    <row r="37" spans="1:14" ht="18.95" customHeight="1" x14ac:dyDescent="0.25">
      <c r="A37" s="15" t="s">
        <v>389</v>
      </c>
      <c r="B37" s="15" t="s">
        <v>23</v>
      </c>
      <c r="C37" s="314" t="s">
        <v>313</v>
      </c>
      <c r="D37" s="318" t="s">
        <v>1088</v>
      </c>
      <c r="E37" s="472" t="s">
        <v>1093</v>
      </c>
      <c r="F37" s="238">
        <v>2078</v>
      </c>
      <c r="G37" s="325">
        <v>0</v>
      </c>
      <c r="H37" s="325">
        <f t="shared" si="11"/>
        <v>2078</v>
      </c>
      <c r="I37" s="325">
        <v>0</v>
      </c>
      <c r="J37" s="325">
        <f t="shared" si="12"/>
        <v>2078</v>
      </c>
      <c r="K37" s="325">
        <f>J37*1.048</f>
        <v>2177.7440000000001</v>
      </c>
      <c r="L37" s="238">
        <f>K37*1.044</f>
        <v>2273.5647360000003</v>
      </c>
      <c r="M37" s="238">
        <f>L37*1.045</f>
        <v>2375.8751491200001</v>
      </c>
    </row>
    <row r="38" spans="1:14" ht="18.95" customHeight="1" x14ac:dyDescent="0.25">
      <c r="A38" s="15" t="s">
        <v>390</v>
      </c>
      <c r="B38" s="15" t="s">
        <v>7</v>
      </c>
      <c r="C38" s="314" t="s">
        <v>313</v>
      </c>
      <c r="D38" s="318" t="s">
        <v>1076</v>
      </c>
      <c r="E38" s="472" t="s">
        <v>1093</v>
      </c>
      <c r="F38" s="238">
        <v>363</v>
      </c>
      <c r="G38" s="325">
        <v>0</v>
      </c>
      <c r="H38" s="325">
        <f t="shared" si="11"/>
        <v>363</v>
      </c>
      <c r="I38" s="325">
        <v>0</v>
      </c>
      <c r="J38" s="325">
        <f t="shared" si="12"/>
        <v>363</v>
      </c>
      <c r="K38" s="325">
        <v>1000</v>
      </c>
      <c r="L38" s="238">
        <f>K38*1.044</f>
        <v>1044</v>
      </c>
      <c r="M38" s="238">
        <f>L38*1.045</f>
        <v>1090.98</v>
      </c>
    </row>
    <row r="39" spans="1:14" x14ac:dyDescent="0.25">
      <c r="A39" s="131"/>
      <c r="B39" s="306" t="s">
        <v>585</v>
      </c>
      <c r="C39" s="433"/>
      <c r="D39" s="499"/>
      <c r="E39" s="389"/>
      <c r="F39" s="331">
        <f t="shared" ref="F39:M39" si="14">SUM(F32:F38)</f>
        <v>28944.8485</v>
      </c>
      <c r="G39" s="500">
        <f t="shared" si="14"/>
        <v>0</v>
      </c>
      <c r="H39" s="500">
        <f t="shared" si="14"/>
        <v>28944.8485</v>
      </c>
      <c r="I39" s="331">
        <f t="shared" si="14"/>
        <v>0</v>
      </c>
      <c r="J39" s="413">
        <f t="shared" si="14"/>
        <v>28944.8485</v>
      </c>
      <c r="K39" s="486">
        <f t="shared" si="14"/>
        <v>26432.952697982095</v>
      </c>
      <c r="L39" s="486">
        <f t="shared" si="14"/>
        <v>27530.189776693311</v>
      </c>
      <c r="M39" s="486">
        <f t="shared" si="14"/>
        <v>28703.376116644507</v>
      </c>
    </row>
    <row r="40" spans="1:14" x14ac:dyDescent="0.25">
      <c r="A40" s="131"/>
      <c r="C40" s="436"/>
      <c r="D40" s="501"/>
      <c r="E40" s="436"/>
      <c r="K40" s="336"/>
      <c r="L40" s="502"/>
      <c r="M40" s="336"/>
    </row>
    <row r="41" spans="1:14" hidden="1" x14ac:dyDescent="0.25">
      <c r="A41" s="446"/>
      <c r="C41" s="436"/>
      <c r="D41" s="501"/>
      <c r="E41" s="436"/>
      <c r="F41" s="503"/>
      <c r="G41" s="503"/>
      <c r="H41" s="503"/>
      <c r="I41" s="503"/>
      <c r="J41" s="503"/>
      <c r="K41" s="502"/>
      <c r="L41" s="502"/>
      <c r="M41" s="502"/>
    </row>
    <row r="42" spans="1:14" ht="16.5" thickBot="1" x14ac:dyDescent="0.3">
      <c r="B42" s="306" t="s">
        <v>586</v>
      </c>
      <c r="C42" s="504"/>
      <c r="D42" s="505"/>
      <c r="E42" s="504"/>
      <c r="F42" s="506">
        <f t="shared" ref="F42:M42" si="15">F24+F39+F29</f>
        <v>1231455.1485000001</v>
      </c>
      <c r="G42" s="506">
        <f t="shared" si="15"/>
        <v>290543.63</v>
      </c>
      <c r="H42" s="506">
        <f t="shared" si="15"/>
        <v>940911.51849999989</v>
      </c>
      <c r="I42" s="506">
        <f t="shared" si="15"/>
        <v>304299.60023999983</v>
      </c>
      <c r="J42" s="506">
        <f t="shared" si="15"/>
        <v>1535754.74874</v>
      </c>
      <c r="K42" s="506">
        <f t="shared" si="15"/>
        <v>641302.11809619144</v>
      </c>
      <c r="L42" s="506">
        <f t="shared" si="15"/>
        <v>671672.31445242406</v>
      </c>
      <c r="M42" s="506">
        <f t="shared" si="15"/>
        <v>704264.6764027829</v>
      </c>
      <c r="N42" s="471"/>
    </row>
  </sheetData>
  <sortState xmlns:xlrd2="http://schemas.microsoft.com/office/spreadsheetml/2017/richdata2" ref="B34:M38">
    <sortCondition ref="B32:B38"/>
  </sortState>
  <mergeCells count="1">
    <mergeCell ref="B4:M6"/>
  </mergeCells>
  <phoneticPr fontId="48" type="noConversion"/>
  <pageMargins left="0.7" right="0.7" top="0.75" bottom="0.75" header="0.3" footer="0.3"/>
  <pageSetup paperSize="9" scale="63" orientation="portrait" r:id="rId1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3031-3A06-4063-800B-54E26B504F71}">
  <sheetPr>
    <tabColor rgb="FF7030A0"/>
    <pageSetUpPr fitToPage="1"/>
  </sheetPr>
  <dimension ref="A1:IQ45"/>
  <sheetViews>
    <sheetView topLeftCell="B1" zoomScale="80" zoomScaleNormal="80" zoomScaleSheetLayoutView="80" workbookViewId="0">
      <pane ySplit="5" topLeftCell="A26" activePane="bottomLeft" state="frozen"/>
      <selection activeCell="B1" sqref="B1"/>
      <selection pane="bottomLeft" activeCell="L41" sqref="L41"/>
    </sheetView>
  </sheetViews>
  <sheetFormatPr defaultColWidth="9.140625" defaultRowHeight="15.75" x14ac:dyDescent="0.25"/>
  <cols>
    <col min="1" max="1" width="67.28515625" style="240" hidden="1" customWidth="1"/>
    <col min="2" max="2" width="51.140625" style="240" customWidth="1"/>
    <col min="3" max="3" width="24.5703125" style="393" hidden="1" customWidth="1"/>
    <col min="4" max="4" width="17.5703125" style="393" hidden="1" customWidth="1"/>
    <col min="5" max="5" width="44.42578125" style="393" hidden="1" customWidth="1"/>
    <col min="6" max="6" width="17.5703125" style="393" hidden="1" customWidth="1"/>
    <col min="7" max="7" width="17.5703125" style="241" customWidth="1"/>
    <col min="8" max="9" width="17.5703125" style="241" hidden="1" customWidth="1"/>
    <col min="10" max="14" width="17.5703125" style="241" customWidth="1"/>
    <col min="15" max="15" width="14.5703125" style="241" customWidth="1"/>
    <col min="16" max="16" width="12.5703125" style="240" customWidth="1"/>
    <col min="17" max="17" width="9.140625" style="240" customWidth="1"/>
    <col min="18" max="251" width="9.140625" style="242"/>
    <col min="252" max="16384" width="9.140625" style="240"/>
  </cols>
  <sheetData>
    <row r="1" spans="1:16" x14ac:dyDescent="0.25">
      <c r="A1" s="398" t="s">
        <v>487</v>
      </c>
      <c r="B1" s="925" t="s">
        <v>1010</v>
      </c>
      <c r="C1" s="925"/>
      <c r="D1" s="925"/>
      <c r="E1" s="925"/>
      <c r="F1" s="925"/>
      <c r="G1" s="925"/>
      <c r="H1" s="925"/>
      <c r="I1" s="925"/>
      <c r="J1" s="925"/>
      <c r="K1" s="925"/>
      <c r="L1" s="925"/>
      <c r="M1" s="925"/>
      <c r="N1" s="925"/>
    </row>
    <row r="2" spans="1:16" x14ac:dyDescent="0.25">
      <c r="A2" s="399" t="s">
        <v>0</v>
      </c>
      <c r="B2" s="924"/>
      <c r="C2" s="924"/>
      <c r="D2" s="924"/>
      <c r="E2" s="924"/>
      <c r="F2" s="924"/>
      <c r="G2" s="924"/>
      <c r="H2" s="924"/>
      <c r="I2" s="924"/>
      <c r="J2" s="924"/>
      <c r="K2" s="924"/>
      <c r="L2" s="924"/>
      <c r="M2" s="924"/>
      <c r="N2" s="924"/>
    </row>
    <row r="3" spans="1:16" x14ac:dyDescent="0.25">
      <c r="A3" s="400"/>
      <c r="B3" s="924"/>
      <c r="C3" s="924"/>
      <c r="D3" s="924"/>
      <c r="E3" s="924"/>
      <c r="F3" s="924"/>
      <c r="G3" s="924"/>
      <c r="H3" s="924"/>
      <c r="I3" s="924"/>
      <c r="J3" s="924"/>
      <c r="K3" s="924"/>
      <c r="L3" s="924"/>
      <c r="M3" s="924"/>
      <c r="N3" s="924"/>
    </row>
    <row r="4" spans="1:16" ht="16.5" thickBot="1" x14ac:dyDescent="0.3">
      <c r="A4" s="401" t="s">
        <v>1</v>
      </c>
      <c r="B4" s="926"/>
      <c r="C4" s="926"/>
      <c r="D4" s="926"/>
      <c r="E4" s="926"/>
      <c r="F4" s="926"/>
      <c r="G4" s="926"/>
      <c r="H4" s="926"/>
      <c r="I4" s="926"/>
      <c r="J4" s="926"/>
      <c r="K4" s="926"/>
      <c r="L4" s="926"/>
      <c r="M4" s="926"/>
      <c r="N4" s="926"/>
    </row>
    <row r="5" spans="1:16" ht="66" customHeight="1" thickBot="1" x14ac:dyDescent="0.3">
      <c r="A5" s="402" t="s">
        <v>2</v>
      </c>
      <c r="B5" s="403"/>
      <c r="C5" s="404" t="s">
        <v>1030</v>
      </c>
      <c r="D5" s="404" t="s">
        <v>1031</v>
      </c>
      <c r="E5" s="404" t="s">
        <v>306</v>
      </c>
      <c r="F5" s="405" t="s">
        <v>1032</v>
      </c>
      <c r="G5" s="406" t="s">
        <v>1028</v>
      </c>
      <c r="H5" s="407" t="s">
        <v>983</v>
      </c>
      <c r="I5" s="407" t="s">
        <v>1027</v>
      </c>
      <c r="J5" s="407" t="s">
        <v>631</v>
      </c>
      <c r="K5" s="407" t="s">
        <v>1274</v>
      </c>
      <c r="L5" s="304" t="s">
        <v>932</v>
      </c>
      <c r="M5" s="304" t="s">
        <v>996</v>
      </c>
      <c r="N5" s="215" t="s">
        <v>1296</v>
      </c>
    </row>
    <row r="6" spans="1:16" hidden="1" x14ac:dyDescent="0.25">
      <c r="A6" s="131" t="s">
        <v>3</v>
      </c>
      <c r="C6" s="307"/>
      <c r="D6" s="307"/>
      <c r="E6" s="307"/>
      <c r="F6" s="307"/>
      <c r="G6" s="313"/>
      <c r="H6" s="311"/>
      <c r="I6" s="311"/>
      <c r="J6" s="311"/>
      <c r="K6" s="311"/>
      <c r="L6" s="408"/>
      <c r="M6" s="409"/>
      <c r="N6" s="409"/>
    </row>
    <row r="7" spans="1:16" x14ac:dyDescent="0.25">
      <c r="A7" s="131"/>
      <c r="B7" s="306" t="s">
        <v>548</v>
      </c>
      <c r="C7" s="307"/>
      <c r="D7" s="307"/>
      <c r="E7" s="307"/>
      <c r="F7" s="307"/>
      <c r="G7" s="313"/>
      <c r="H7" s="311"/>
      <c r="I7" s="311"/>
      <c r="J7" s="311"/>
      <c r="K7" s="311"/>
      <c r="L7" s="325"/>
      <c r="M7" s="238"/>
      <c r="N7" s="238"/>
    </row>
    <row r="8" spans="1:16" x14ac:dyDescent="0.25">
      <c r="B8" s="306" t="s">
        <v>556</v>
      </c>
      <c r="C8" s="307"/>
      <c r="D8" s="307"/>
      <c r="E8" s="307"/>
      <c r="F8" s="307"/>
      <c r="G8" s="313"/>
      <c r="H8" s="311"/>
      <c r="I8" s="311"/>
      <c r="J8" s="311"/>
      <c r="K8" s="311"/>
      <c r="L8" s="325"/>
      <c r="M8" s="238"/>
      <c r="N8" s="238"/>
    </row>
    <row r="9" spans="1:16" hidden="1" x14ac:dyDescent="0.25">
      <c r="A9" s="15" t="s">
        <v>501</v>
      </c>
      <c r="B9" s="15" t="s">
        <v>11</v>
      </c>
      <c r="C9" s="314"/>
      <c r="D9" s="314"/>
      <c r="E9" s="314"/>
      <c r="F9" s="314"/>
      <c r="G9" s="313">
        <v>0</v>
      </c>
      <c r="H9" s="311"/>
      <c r="I9" s="311"/>
      <c r="J9" s="311"/>
      <c r="K9" s="311"/>
      <c r="L9" s="325"/>
      <c r="M9" s="238"/>
      <c r="N9" s="238"/>
    </row>
    <row r="10" spans="1:16" x14ac:dyDescent="0.25">
      <c r="A10" s="15" t="s">
        <v>51</v>
      </c>
      <c r="B10" s="15" t="s">
        <v>52</v>
      </c>
      <c r="C10" s="314"/>
      <c r="D10" s="314"/>
      <c r="E10" s="314"/>
      <c r="F10" s="314"/>
      <c r="G10" s="313">
        <v>799200</v>
      </c>
      <c r="H10" s="311">
        <v>324602.46999999997</v>
      </c>
      <c r="I10" s="311">
        <f>SUM(G10-H10)</f>
        <v>474597.53</v>
      </c>
      <c r="J10" s="311">
        <v>-44400</v>
      </c>
      <c r="K10" s="311">
        <f>SUM(G10+J10)</f>
        <v>754800</v>
      </c>
      <c r="L10" s="325">
        <v>621600</v>
      </c>
      <c r="M10" s="325">
        <v>621600</v>
      </c>
      <c r="N10" s="238">
        <v>621600</v>
      </c>
      <c r="P10" s="410"/>
    </row>
    <row r="11" spans="1:16" x14ac:dyDescent="0.25">
      <c r="A11" s="15" t="s">
        <v>376</v>
      </c>
      <c r="B11" s="15" t="s">
        <v>375</v>
      </c>
      <c r="C11" s="314"/>
      <c r="D11" s="314"/>
      <c r="E11" s="314"/>
      <c r="F11" s="314"/>
      <c r="G11" s="313">
        <f>7641970*1.039</f>
        <v>7940006.8299999991</v>
      </c>
      <c r="H11" s="311">
        <f>3122107.83+96648.83</f>
        <v>3218756.66</v>
      </c>
      <c r="I11" s="311">
        <f t="shared" ref="I11:I14" si="0">SUM(G11-H11)</f>
        <v>4721250.169999999</v>
      </c>
      <c r="J11" s="311">
        <v>-1396114</v>
      </c>
      <c r="K11" s="311">
        <f t="shared" ref="K11:K14" si="1">SUM(G11+J11)</f>
        <v>6543892.8299999991</v>
      </c>
      <c r="L11" s="325">
        <v>6246038</v>
      </c>
      <c r="M11" s="238">
        <f>L11*1.044</f>
        <v>6520863.6720000003</v>
      </c>
      <c r="N11" s="238">
        <f>M11*1.045</f>
        <v>6814302.5372399995</v>
      </c>
      <c r="P11" s="410"/>
    </row>
    <row r="12" spans="1:16" x14ac:dyDescent="0.25">
      <c r="A12" s="15" t="s">
        <v>59</v>
      </c>
      <c r="B12" s="15" t="s">
        <v>60</v>
      </c>
      <c r="C12" s="314"/>
      <c r="D12" s="314"/>
      <c r="E12" s="314"/>
      <c r="F12" s="314"/>
      <c r="G12" s="313">
        <f>2397207*1.039</f>
        <v>2490698.0729999999</v>
      </c>
      <c r="H12" s="311">
        <v>966386.04</v>
      </c>
      <c r="I12" s="311">
        <f t="shared" si="0"/>
        <v>1524312.0329999998</v>
      </c>
      <c r="J12" s="311">
        <v>-436025</v>
      </c>
      <c r="K12" s="311">
        <f t="shared" si="1"/>
        <v>2054673.0729999999</v>
      </c>
      <c r="L12" s="325">
        <v>2041523</v>
      </c>
      <c r="M12" s="325">
        <v>2041523</v>
      </c>
      <c r="N12" s="238">
        <v>2041523</v>
      </c>
      <c r="P12" s="410"/>
    </row>
    <row r="13" spans="1:16" hidden="1" x14ac:dyDescent="0.25">
      <c r="A13" s="15"/>
      <c r="B13" s="212" t="s">
        <v>630</v>
      </c>
      <c r="C13" s="321"/>
      <c r="D13" s="321"/>
      <c r="E13" s="321"/>
      <c r="F13" s="321"/>
      <c r="G13" s="313"/>
      <c r="H13" s="311"/>
      <c r="I13" s="311">
        <f t="shared" si="0"/>
        <v>0</v>
      </c>
      <c r="J13" s="311"/>
      <c r="K13" s="311">
        <f t="shared" si="1"/>
        <v>0</v>
      </c>
      <c r="L13" s="325">
        <v>0</v>
      </c>
      <c r="M13" s="238">
        <v>0</v>
      </c>
      <c r="N13" s="238">
        <v>0</v>
      </c>
      <c r="P13" s="410"/>
    </row>
    <row r="14" spans="1:16" x14ac:dyDescent="0.25">
      <c r="A14" s="15" t="s">
        <v>499</v>
      </c>
      <c r="B14" s="15" t="s">
        <v>448</v>
      </c>
      <c r="C14" s="314"/>
      <c r="D14" s="314"/>
      <c r="E14" s="314"/>
      <c r="F14" s="314"/>
      <c r="G14" s="313">
        <v>411542</v>
      </c>
      <c r="H14" s="311">
        <v>8520.9699999999993</v>
      </c>
      <c r="I14" s="311">
        <f t="shared" si="0"/>
        <v>403021.03</v>
      </c>
      <c r="J14" s="311"/>
      <c r="K14" s="311">
        <f t="shared" si="1"/>
        <v>411542</v>
      </c>
      <c r="L14" s="325">
        <v>52925.52</v>
      </c>
      <c r="M14" s="348">
        <f>L14*1.044</f>
        <v>55254.242879999998</v>
      </c>
      <c r="N14" s="348">
        <f>M14*1.045</f>
        <v>57740.683809599992</v>
      </c>
      <c r="P14" s="410"/>
    </row>
    <row r="15" spans="1:16" x14ac:dyDescent="0.25">
      <c r="A15" s="131"/>
      <c r="B15" s="306" t="s">
        <v>557</v>
      </c>
      <c r="C15" s="411"/>
      <c r="D15" s="411"/>
      <c r="E15" s="411"/>
      <c r="F15" s="412"/>
      <c r="G15" s="331">
        <f t="shared" ref="G15:N15" si="2">SUM(G9:G14)</f>
        <v>11641446.902999997</v>
      </c>
      <c r="H15" s="413">
        <f t="shared" si="2"/>
        <v>4518266.1399999997</v>
      </c>
      <c r="I15" s="331">
        <f t="shared" si="2"/>
        <v>7123180.7629999993</v>
      </c>
      <c r="J15" s="331">
        <f t="shared" si="2"/>
        <v>-1876539</v>
      </c>
      <c r="K15" s="331">
        <f t="shared" si="2"/>
        <v>9764907.902999999</v>
      </c>
      <c r="L15" s="414">
        <f t="shared" si="2"/>
        <v>8962086.5199999996</v>
      </c>
      <c r="M15" s="414">
        <f t="shared" si="2"/>
        <v>9239240.9148800001</v>
      </c>
      <c r="N15" s="414">
        <f t="shared" si="2"/>
        <v>9535166.2210495993</v>
      </c>
      <c r="P15" s="410"/>
    </row>
    <row r="16" spans="1:16" x14ac:dyDescent="0.25">
      <c r="A16" s="131"/>
      <c r="B16" s="306"/>
      <c r="C16" s="415"/>
      <c r="D16" s="415"/>
      <c r="E16" s="415"/>
      <c r="F16" s="411"/>
      <c r="G16" s="331"/>
      <c r="H16" s="416"/>
      <c r="I16" s="416"/>
      <c r="J16" s="416"/>
      <c r="K16" s="416"/>
      <c r="L16" s="335"/>
      <c r="M16" s="335"/>
      <c r="N16" s="335"/>
      <c r="P16" s="410"/>
    </row>
    <row r="17" spans="1:17" x14ac:dyDescent="0.25">
      <c r="A17" s="131"/>
      <c r="B17" s="306" t="s">
        <v>1277</v>
      </c>
      <c r="C17" s="415"/>
      <c r="D17" s="415"/>
      <c r="E17" s="415"/>
      <c r="F17" s="411"/>
      <c r="G17" s="417"/>
      <c r="L17" s="418"/>
      <c r="M17" s="336"/>
      <c r="N17" s="336"/>
      <c r="P17" s="410"/>
    </row>
    <row r="18" spans="1:17" x14ac:dyDescent="0.25">
      <c r="A18" s="15" t="s">
        <v>55</v>
      </c>
      <c r="B18" s="15" t="s">
        <v>377</v>
      </c>
      <c r="C18" s="305"/>
      <c r="D18" s="305"/>
      <c r="E18" s="305"/>
      <c r="F18" s="419"/>
      <c r="G18" s="313">
        <v>438239</v>
      </c>
      <c r="H18" s="339">
        <v>178567.2</v>
      </c>
      <c r="I18" s="339">
        <f>SUM(G18-H18)</f>
        <v>259671.8</v>
      </c>
      <c r="J18" s="339">
        <v>0</v>
      </c>
      <c r="K18" s="339">
        <f>SUM(G18+J18)</f>
        <v>438239</v>
      </c>
      <c r="L18" s="359">
        <v>37351</v>
      </c>
      <c r="M18" s="344">
        <v>37351</v>
      </c>
      <c r="N18" s="344">
        <v>37351</v>
      </c>
      <c r="P18" s="410"/>
    </row>
    <row r="19" spans="1:17" x14ac:dyDescent="0.25">
      <c r="A19" s="15" t="s">
        <v>57</v>
      </c>
      <c r="B19" s="15" t="s">
        <v>58</v>
      </c>
      <c r="C19" s="314"/>
      <c r="D19" s="314"/>
      <c r="E19" s="314"/>
      <c r="F19" s="375"/>
      <c r="G19" s="313">
        <v>448701</v>
      </c>
      <c r="H19" s="311">
        <v>189209.51</v>
      </c>
      <c r="I19" s="311">
        <f t="shared" ref="I19:I20" si="3">SUM(G19-H19)</f>
        <v>259491.49</v>
      </c>
      <c r="J19" s="311">
        <v>0</v>
      </c>
      <c r="K19" s="311">
        <f t="shared" ref="K19:K20" si="4">SUM(G19+J19)</f>
        <v>448701</v>
      </c>
      <c r="L19" s="325">
        <v>111039</v>
      </c>
      <c r="M19" s="238">
        <v>111039</v>
      </c>
      <c r="N19" s="238">
        <v>111039</v>
      </c>
      <c r="P19" s="410"/>
    </row>
    <row r="20" spans="1:17" x14ac:dyDescent="0.25">
      <c r="A20" s="15" t="s">
        <v>500</v>
      </c>
      <c r="B20" s="360" t="s">
        <v>19</v>
      </c>
      <c r="C20" s="420"/>
      <c r="D20" s="420"/>
      <c r="E20" s="420"/>
      <c r="F20" s="421"/>
      <c r="G20" s="422">
        <v>0</v>
      </c>
      <c r="H20" s="423">
        <v>3080.03</v>
      </c>
      <c r="I20" s="423">
        <f t="shared" si="3"/>
        <v>-3080.03</v>
      </c>
      <c r="J20" s="423">
        <f>H20*2</f>
        <v>6160.06</v>
      </c>
      <c r="K20" s="423">
        <f t="shared" si="4"/>
        <v>6160.06</v>
      </c>
      <c r="L20" s="326">
        <v>0</v>
      </c>
      <c r="M20" s="348">
        <v>0</v>
      </c>
      <c r="N20" s="348">
        <v>0</v>
      </c>
      <c r="P20" s="410"/>
    </row>
    <row r="21" spans="1:17" x14ac:dyDescent="0.25">
      <c r="A21" s="131"/>
      <c r="B21" s="306" t="s">
        <v>1278</v>
      </c>
      <c r="C21" s="411"/>
      <c r="D21" s="411"/>
      <c r="E21" s="411"/>
      <c r="F21" s="412"/>
      <c r="G21" s="331">
        <f t="shared" ref="G21:N21" si="5">SUM(G18:G20)</f>
        <v>886940</v>
      </c>
      <c r="H21" s="413">
        <f t="shared" si="5"/>
        <v>370856.74000000005</v>
      </c>
      <c r="I21" s="331">
        <f t="shared" si="5"/>
        <v>516083.25999999995</v>
      </c>
      <c r="J21" s="331">
        <f t="shared" si="5"/>
        <v>6160.06</v>
      </c>
      <c r="K21" s="331">
        <f t="shared" si="5"/>
        <v>893100.06</v>
      </c>
      <c r="L21" s="414">
        <f t="shared" si="5"/>
        <v>148390</v>
      </c>
      <c r="M21" s="414">
        <f t="shared" si="5"/>
        <v>148390</v>
      </c>
      <c r="N21" s="414">
        <f t="shared" si="5"/>
        <v>148390</v>
      </c>
    </row>
    <row r="22" spans="1:17" x14ac:dyDescent="0.25">
      <c r="A22" s="131"/>
      <c r="C22" s="411"/>
      <c r="D22" s="415"/>
      <c r="E22" s="415"/>
      <c r="F22" s="412"/>
      <c r="G22" s="313"/>
      <c r="L22" s="418"/>
      <c r="M22" s="336"/>
      <c r="N22" s="336"/>
    </row>
    <row r="23" spans="1:17" ht="16.5" thickBot="1" x14ac:dyDescent="0.3">
      <c r="A23" s="131"/>
      <c r="B23" s="393" t="s">
        <v>1276</v>
      </c>
      <c r="C23" s="415"/>
      <c r="D23" s="415"/>
      <c r="E23" s="415"/>
      <c r="F23" s="412"/>
      <c r="G23" s="424">
        <f t="shared" ref="G23:N23" si="6">G15+G21</f>
        <v>12528386.902999997</v>
      </c>
      <c r="H23" s="353">
        <f t="shared" si="6"/>
        <v>4889122.88</v>
      </c>
      <c r="I23" s="353">
        <f t="shared" si="6"/>
        <v>7639264.0229999991</v>
      </c>
      <c r="J23" s="353">
        <f t="shared" si="6"/>
        <v>-1870378.94</v>
      </c>
      <c r="K23" s="353">
        <f t="shared" si="6"/>
        <v>10658007.963</v>
      </c>
      <c r="L23" s="354">
        <f t="shared" si="6"/>
        <v>9110476.5199999996</v>
      </c>
      <c r="M23" s="354">
        <f t="shared" si="6"/>
        <v>9387630.9148800001</v>
      </c>
      <c r="N23" s="354">
        <f t="shared" si="6"/>
        <v>9683556.2210495993</v>
      </c>
      <c r="P23" s="425"/>
    </row>
    <row r="24" spans="1:17" x14ac:dyDescent="0.25">
      <c r="A24" s="131"/>
      <c r="B24" s="393"/>
      <c r="C24" s="378"/>
      <c r="D24" s="378"/>
      <c r="E24" s="378"/>
      <c r="F24" s="307"/>
      <c r="G24" s="313"/>
      <c r="H24" s="312"/>
      <c r="I24" s="312"/>
      <c r="J24" s="312"/>
      <c r="K24" s="312"/>
      <c r="L24" s="335"/>
      <c r="M24" s="239"/>
      <c r="N24" s="239"/>
    </row>
    <row r="25" spans="1:17" x14ac:dyDescent="0.25">
      <c r="A25" s="131"/>
      <c r="B25" s="306" t="s">
        <v>559</v>
      </c>
      <c r="F25" s="307"/>
      <c r="G25" s="313"/>
      <c r="L25" s="418"/>
      <c r="M25" s="336"/>
      <c r="N25" s="336"/>
    </row>
    <row r="26" spans="1:17" x14ac:dyDescent="0.25">
      <c r="A26" s="16" t="s">
        <v>379</v>
      </c>
      <c r="B26" s="16" t="s">
        <v>378</v>
      </c>
      <c r="C26" s="426"/>
      <c r="D26" s="426"/>
      <c r="E26" s="426"/>
      <c r="F26" s="427"/>
      <c r="G26" s="341">
        <v>0</v>
      </c>
      <c r="H26" s="340">
        <v>11569.94</v>
      </c>
      <c r="I26" s="341">
        <f>SUM(G26-H26)</f>
        <v>-11569.94</v>
      </c>
      <c r="J26" s="340">
        <v>11570</v>
      </c>
      <c r="K26" s="341">
        <f>SUM(G26+J26)</f>
        <v>11570</v>
      </c>
      <c r="L26" s="359">
        <f t="shared" ref="L26:L29" si="7">K26*1.048</f>
        <v>12125.36</v>
      </c>
      <c r="M26" s="344">
        <f t="shared" ref="M26:M29" si="8">L26*1.044</f>
        <v>12658.875840000001</v>
      </c>
      <c r="N26" s="344">
        <f>M26*1.045</f>
        <v>13228.5252528</v>
      </c>
    </row>
    <row r="27" spans="1:17" hidden="1" x14ac:dyDescent="0.25">
      <c r="A27" s="16" t="s">
        <v>607</v>
      </c>
      <c r="B27" s="16" t="s">
        <v>317</v>
      </c>
      <c r="C27" s="428"/>
      <c r="D27" s="428"/>
      <c r="E27" s="428"/>
      <c r="F27" s="429"/>
      <c r="G27" s="313">
        <v>0</v>
      </c>
      <c r="H27" s="312"/>
      <c r="I27" s="313">
        <f t="shared" ref="I27:I28" si="9">SUM(G27-H27)</f>
        <v>0</v>
      </c>
      <c r="J27" s="312"/>
      <c r="K27" s="313">
        <f t="shared" ref="K27:K28" si="10">SUM(G27+J27)</f>
        <v>0</v>
      </c>
      <c r="L27" s="325">
        <f t="shared" si="7"/>
        <v>0</v>
      </c>
      <c r="M27" s="325">
        <f t="shared" si="8"/>
        <v>0</v>
      </c>
      <c r="N27" s="238">
        <f t="shared" ref="N27:N29" si="11">M27*1.045</f>
        <v>0</v>
      </c>
    </row>
    <row r="28" spans="1:17" x14ac:dyDescent="0.25">
      <c r="A28" s="16" t="s">
        <v>380</v>
      </c>
      <c r="B28" s="16" t="s">
        <v>319</v>
      </c>
      <c r="C28" s="430"/>
      <c r="D28" s="430"/>
      <c r="E28" s="430"/>
      <c r="F28" s="431"/>
      <c r="G28" s="347">
        <v>0</v>
      </c>
      <c r="H28" s="346">
        <v>4618.2299999999996</v>
      </c>
      <c r="I28" s="347">
        <f t="shared" si="9"/>
        <v>-4618.2299999999996</v>
      </c>
      <c r="J28" s="346">
        <v>4618</v>
      </c>
      <c r="K28" s="347">
        <f t="shared" si="10"/>
        <v>4618</v>
      </c>
      <c r="L28" s="326">
        <f t="shared" si="7"/>
        <v>4839.6639999999998</v>
      </c>
      <c r="M28" s="326">
        <f t="shared" si="8"/>
        <v>5052.6092159999998</v>
      </c>
      <c r="N28" s="348">
        <f t="shared" si="11"/>
        <v>5279.9766307199998</v>
      </c>
    </row>
    <row r="29" spans="1:17" hidden="1" x14ac:dyDescent="0.25">
      <c r="A29" s="16" t="s">
        <v>608</v>
      </c>
      <c r="B29" s="16" t="s">
        <v>321</v>
      </c>
      <c r="C29" s="430"/>
      <c r="D29" s="430"/>
      <c r="E29" s="430"/>
      <c r="F29" s="431"/>
      <c r="G29" s="417">
        <f>SUM(G26:G28)</f>
        <v>0</v>
      </c>
      <c r="H29" s="339"/>
      <c r="I29" s="339"/>
      <c r="J29" s="339"/>
      <c r="K29" s="339"/>
      <c r="L29" s="432">
        <f t="shared" si="7"/>
        <v>0</v>
      </c>
      <c r="M29" s="344">
        <f t="shared" si="8"/>
        <v>0</v>
      </c>
      <c r="N29" s="359">
        <f t="shared" si="11"/>
        <v>0</v>
      </c>
    </row>
    <row r="30" spans="1:17" x14ac:dyDescent="0.25">
      <c r="A30" s="131"/>
      <c r="B30" s="306" t="s">
        <v>566</v>
      </c>
      <c r="C30" s="412"/>
      <c r="D30" s="433"/>
      <c r="E30" s="433"/>
      <c r="F30" s="386"/>
      <c r="G30" s="331">
        <f t="shared" ref="G30:N30" si="12">SUM(G26:G29)</f>
        <v>0</v>
      </c>
      <c r="H30" s="332">
        <f t="shared" si="12"/>
        <v>16188.17</v>
      </c>
      <c r="I30" s="434">
        <f t="shared" si="12"/>
        <v>-16188.17</v>
      </c>
      <c r="J30" s="434">
        <f t="shared" si="12"/>
        <v>16188</v>
      </c>
      <c r="K30" s="434">
        <f t="shared" si="12"/>
        <v>16188</v>
      </c>
      <c r="L30" s="349">
        <f t="shared" si="12"/>
        <v>16965.024000000001</v>
      </c>
      <c r="M30" s="349">
        <f t="shared" si="12"/>
        <v>17711.485056000001</v>
      </c>
      <c r="N30" s="414">
        <f t="shared" si="12"/>
        <v>18508.501883519999</v>
      </c>
      <c r="O30" s="416"/>
      <c r="P30" s="416"/>
      <c r="Q30" s="416"/>
    </row>
    <row r="31" spans="1:17" ht="18.75" customHeight="1" x14ac:dyDescent="0.25">
      <c r="A31" s="131"/>
      <c r="C31" s="411"/>
      <c r="D31" s="415"/>
      <c r="E31" s="415"/>
      <c r="F31" s="411"/>
      <c r="G31" s="435"/>
      <c r="H31" s="346"/>
      <c r="I31" s="346"/>
      <c r="J31" s="312"/>
      <c r="K31" s="312"/>
      <c r="L31" s="335"/>
      <c r="M31" s="239"/>
      <c r="N31" s="359"/>
    </row>
    <row r="32" spans="1:17" ht="18.75" customHeight="1" x14ac:dyDescent="0.25">
      <c r="A32" s="131"/>
      <c r="B32" s="306" t="s">
        <v>569</v>
      </c>
      <c r="C32" s="307"/>
      <c r="D32" s="436"/>
      <c r="E32" s="436"/>
      <c r="F32" s="437"/>
      <c r="G32" s="347"/>
      <c r="H32" s="312"/>
      <c r="I32" s="312"/>
      <c r="J32" s="312"/>
      <c r="K32" s="312"/>
      <c r="L32" s="335"/>
      <c r="M32" s="239"/>
      <c r="N32" s="326"/>
    </row>
    <row r="33" spans="1:16" s="242" customFormat="1" ht="18.75" customHeight="1" x14ac:dyDescent="0.25">
      <c r="A33" s="191" t="s">
        <v>45</v>
      </c>
      <c r="B33" s="191" t="s">
        <v>5</v>
      </c>
      <c r="C33" s="314" t="s">
        <v>313</v>
      </c>
      <c r="D33" s="438" t="s">
        <v>1057</v>
      </c>
      <c r="E33" s="439" t="s">
        <v>1096</v>
      </c>
      <c r="F33" s="439" t="s">
        <v>1093</v>
      </c>
      <c r="G33" s="344">
        <v>125284</v>
      </c>
      <c r="H33" s="359">
        <v>39125.29</v>
      </c>
      <c r="I33" s="359">
        <f t="shared" ref="I33:I42" si="13">SUM(G33-H33)</f>
        <v>86158.709999999992</v>
      </c>
      <c r="J33" s="359">
        <v>0</v>
      </c>
      <c r="K33" s="359">
        <f t="shared" ref="K33:K42" si="14">SUM(G33+J33)</f>
        <v>125284</v>
      </c>
      <c r="L33" s="359">
        <f>L23*1/100</f>
        <v>91104.765199999994</v>
      </c>
      <c r="M33" s="359">
        <f t="shared" ref="M33:N33" si="15">M23*1/100</f>
        <v>93876.309148800006</v>
      </c>
      <c r="N33" s="359">
        <f t="shared" si="15"/>
        <v>96835.562210495991</v>
      </c>
      <c r="O33" s="336"/>
    </row>
    <row r="34" spans="1:16" s="242" customFormat="1" ht="18.2" customHeight="1" x14ac:dyDescent="0.25">
      <c r="A34" s="191" t="s">
        <v>46</v>
      </c>
      <c r="B34" s="191" t="s">
        <v>54</v>
      </c>
      <c r="C34" s="314" t="s">
        <v>313</v>
      </c>
      <c r="D34" s="244" t="s">
        <v>1057</v>
      </c>
      <c r="E34" s="245" t="s">
        <v>1147</v>
      </c>
      <c r="F34" s="245" t="s">
        <v>1093</v>
      </c>
      <c r="G34" s="238">
        <v>218190</v>
      </c>
      <c r="H34" s="325">
        <v>75699.58</v>
      </c>
      <c r="I34" s="325">
        <f t="shared" si="13"/>
        <v>142490.41999999998</v>
      </c>
      <c r="J34" s="325">
        <v>0</v>
      </c>
      <c r="K34" s="325">
        <f t="shared" si="14"/>
        <v>218190</v>
      </c>
      <c r="L34" s="325">
        <v>230000</v>
      </c>
      <c r="M34" s="238">
        <f t="shared" ref="M34:M42" si="16">L34*1.044</f>
        <v>240120</v>
      </c>
      <c r="N34" s="238">
        <f t="shared" ref="N34:N42" si="17">M34*1.045</f>
        <v>250925.4</v>
      </c>
      <c r="O34" s="336"/>
    </row>
    <row r="35" spans="1:16" s="242" customFormat="1" ht="18.2" customHeight="1" x14ac:dyDescent="0.25">
      <c r="A35" s="191"/>
      <c r="B35" s="191" t="s">
        <v>1314</v>
      </c>
      <c r="C35" s="314"/>
      <c r="D35" s="244"/>
      <c r="E35" s="245"/>
      <c r="F35" s="245"/>
      <c r="G35" s="238"/>
      <c r="H35" s="325"/>
      <c r="I35" s="325"/>
      <c r="J35" s="325"/>
      <c r="K35" s="325"/>
      <c r="L35" s="325">
        <v>21600</v>
      </c>
      <c r="M35" s="238">
        <v>21600</v>
      </c>
      <c r="N35" s="238">
        <v>21600</v>
      </c>
      <c r="O35" s="336"/>
    </row>
    <row r="36" spans="1:16" s="242" customFormat="1" ht="18.75" customHeight="1" x14ac:dyDescent="0.25">
      <c r="A36" s="191" t="s">
        <v>47</v>
      </c>
      <c r="B36" s="191" t="s">
        <v>21</v>
      </c>
      <c r="C36" s="314" t="s">
        <v>313</v>
      </c>
      <c r="D36" s="244" t="s">
        <v>1057</v>
      </c>
      <c r="E36" s="245" t="s">
        <v>1101</v>
      </c>
      <c r="F36" s="245" t="s">
        <v>1093</v>
      </c>
      <c r="G36" s="238">
        <v>149140</v>
      </c>
      <c r="H36" s="325">
        <v>153339.79</v>
      </c>
      <c r="I36" s="325">
        <f t="shared" si="13"/>
        <v>-4199.7900000000081</v>
      </c>
      <c r="J36" s="325">
        <v>157540</v>
      </c>
      <c r="K36" s="325">
        <f t="shared" si="14"/>
        <v>306680</v>
      </c>
      <c r="L36" s="325">
        <f>K36*1.048</f>
        <v>321400.64</v>
      </c>
      <c r="M36" s="238">
        <f t="shared" si="16"/>
        <v>335542.26816000004</v>
      </c>
      <c r="N36" s="238">
        <f t="shared" si="17"/>
        <v>350641.67022720003</v>
      </c>
      <c r="O36" s="336"/>
      <c r="P36" s="440"/>
    </row>
    <row r="37" spans="1:16" s="242" customFormat="1" ht="18.95" customHeight="1" x14ac:dyDescent="0.25">
      <c r="A37" s="191" t="s">
        <v>48</v>
      </c>
      <c r="B37" s="191" t="s">
        <v>339</v>
      </c>
      <c r="C37" s="314" t="s">
        <v>313</v>
      </c>
      <c r="D37" s="244" t="s">
        <v>1057</v>
      </c>
      <c r="E37" s="244"/>
      <c r="F37" s="245" t="s">
        <v>1093</v>
      </c>
      <c r="G37" s="238">
        <v>0</v>
      </c>
      <c r="H37" s="325">
        <v>0</v>
      </c>
      <c r="I37" s="325">
        <f t="shared" si="13"/>
        <v>0</v>
      </c>
      <c r="J37" s="325">
        <v>0</v>
      </c>
      <c r="K37" s="325">
        <f t="shared" si="14"/>
        <v>0</v>
      </c>
      <c r="L37" s="325">
        <f>170000-45800</f>
        <v>124200</v>
      </c>
      <c r="M37" s="238">
        <f t="shared" si="16"/>
        <v>129664.8</v>
      </c>
      <c r="N37" s="238">
        <f t="shared" si="17"/>
        <v>135499.71599999999</v>
      </c>
      <c r="O37" s="336"/>
    </row>
    <row r="38" spans="1:16" s="242" customFormat="1" ht="18.95" customHeight="1" x14ac:dyDescent="0.25">
      <c r="A38" s="191" t="s">
        <v>49</v>
      </c>
      <c r="B38" s="191" t="s">
        <v>381</v>
      </c>
      <c r="C38" s="375" t="s">
        <v>313</v>
      </c>
      <c r="D38" s="244" t="s">
        <v>1057</v>
      </c>
      <c r="E38" s="245" t="s">
        <v>1135</v>
      </c>
      <c r="F38" s="245" t="s">
        <v>1093</v>
      </c>
      <c r="G38" s="238">
        <v>0</v>
      </c>
      <c r="H38" s="325">
        <v>0</v>
      </c>
      <c r="I38" s="325">
        <f t="shared" si="13"/>
        <v>0</v>
      </c>
      <c r="J38" s="325">
        <v>0</v>
      </c>
      <c r="K38" s="325">
        <f t="shared" si="14"/>
        <v>0</v>
      </c>
      <c r="L38" s="325">
        <f>50000-20000</f>
        <v>30000</v>
      </c>
      <c r="M38" s="238">
        <f t="shared" si="16"/>
        <v>31320</v>
      </c>
      <c r="N38" s="238">
        <f t="shared" si="17"/>
        <v>32729.399999999998</v>
      </c>
      <c r="O38" s="336"/>
    </row>
    <row r="39" spans="1:16" s="242" customFormat="1" ht="18.95" customHeight="1" x14ac:dyDescent="0.25">
      <c r="A39" s="191" t="s">
        <v>53</v>
      </c>
      <c r="B39" s="191" t="s">
        <v>23</v>
      </c>
      <c r="C39" s="314" t="s">
        <v>313</v>
      </c>
      <c r="D39" s="244" t="s">
        <v>1057</v>
      </c>
      <c r="E39" s="245" t="s">
        <v>1088</v>
      </c>
      <c r="F39" s="245" t="s">
        <v>1093</v>
      </c>
      <c r="G39" s="238">
        <v>9762</v>
      </c>
      <c r="H39" s="325">
        <v>0</v>
      </c>
      <c r="I39" s="325">
        <f t="shared" si="13"/>
        <v>9762</v>
      </c>
      <c r="J39" s="325">
        <v>0</v>
      </c>
      <c r="K39" s="325">
        <f t="shared" si="14"/>
        <v>9762</v>
      </c>
      <c r="L39" s="325">
        <f>K39*1.048</f>
        <v>10230.576000000001</v>
      </c>
      <c r="M39" s="238">
        <f t="shared" si="16"/>
        <v>10680.721344000001</v>
      </c>
      <c r="N39" s="238">
        <f t="shared" si="17"/>
        <v>11161.353804480001</v>
      </c>
      <c r="O39" s="336"/>
    </row>
    <row r="40" spans="1:16" s="242" customFormat="1" ht="36.75" hidden="1" customHeight="1" x14ac:dyDescent="0.25">
      <c r="A40" s="191" t="s">
        <v>382</v>
      </c>
      <c r="B40" s="191" t="s">
        <v>50</v>
      </c>
      <c r="C40" s="441"/>
      <c r="D40" s="244" t="s">
        <v>1057</v>
      </c>
      <c r="E40" s="244"/>
      <c r="F40" s="245" t="s">
        <v>1093</v>
      </c>
      <c r="G40" s="238">
        <v>0</v>
      </c>
      <c r="H40" s="325">
        <v>0</v>
      </c>
      <c r="I40" s="325">
        <f t="shared" si="13"/>
        <v>0</v>
      </c>
      <c r="J40" s="325">
        <v>0</v>
      </c>
      <c r="K40" s="325">
        <f t="shared" si="14"/>
        <v>0</v>
      </c>
      <c r="L40" s="325">
        <f>K40*1.048</f>
        <v>0</v>
      </c>
      <c r="M40" s="238">
        <f t="shared" si="16"/>
        <v>0</v>
      </c>
      <c r="N40" s="238">
        <f t="shared" si="17"/>
        <v>0</v>
      </c>
      <c r="O40" s="336"/>
    </row>
    <row r="41" spans="1:16" s="242" customFormat="1" ht="18.2" customHeight="1" x14ac:dyDescent="0.25">
      <c r="A41" s="191" t="s">
        <v>61</v>
      </c>
      <c r="B41" s="191" t="s">
        <v>62</v>
      </c>
      <c r="C41" s="314" t="s">
        <v>313</v>
      </c>
      <c r="D41" s="244" t="s">
        <v>1057</v>
      </c>
      <c r="E41" s="245" t="s">
        <v>1104</v>
      </c>
      <c r="F41" s="245" t="s">
        <v>1093</v>
      </c>
      <c r="G41" s="238">
        <v>120000</v>
      </c>
      <c r="H41" s="325">
        <v>83812.63</v>
      </c>
      <c r="I41" s="325">
        <f t="shared" si="13"/>
        <v>36187.369999999995</v>
      </c>
      <c r="J41" s="325">
        <v>47626</v>
      </c>
      <c r="K41" s="325">
        <f t="shared" si="14"/>
        <v>167626</v>
      </c>
      <c r="L41" s="325">
        <f>220000-43900</f>
        <v>176100</v>
      </c>
      <c r="M41" s="238">
        <f t="shared" si="16"/>
        <v>183848.4</v>
      </c>
      <c r="N41" s="238">
        <f t="shared" si="17"/>
        <v>192121.57799999998</v>
      </c>
      <c r="O41" s="336"/>
    </row>
    <row r="42" spans="1:16" s="242" customFormat="1" ht="18.95" customHeight="1" x14ac:dyDescent="0.25">
      <c r="A42" s="191" t="s">
        <v>383</v>
      </c>
      <c r="B42" s="191" t="s">
        <v>7</v>
      </c>
      <c r="C42" s="314" t="s">
        <v>313</v>
      </c>
      <c r="D42" s="244" t="s">
        <v>1057</v>
      </c>
      <c r="E42" s="245" t="s">
        <v>1076</v>
      </c>
      <c r="F42" s="245" t="s">
        <v>1093</v>
      </c>
      <c r="G42" s="238">
        <v>3438</v>
      </c>
      <c r="H42" s="325">
        <v>7687.74</v>
      </c>
      <c r="I42" s="325">
        <f t="shared" si="13"/>
        <v>-4249.74</v>
      </c>
      <c r="J42" s="325">
        <v>11938</v>
      </c>
      <c r="K42" s="325">
        <f t="shared" si="14"/>
        <v>15376</v>
      </c>
      <c r="L42" s="325">
        <f>K42*1.048</f>
        <v>16114.048000000001</v>
      </c>
      <c r="M42" s="238">
        <f t="shared" si="16"/>
        <v>16823.066112</v>
      </c>
      <c r="N42" s="238">
        <f t="shared" si="17"/>
        <v>17580.104087039999</v>
      </c>
      <c r="O42" s="336"/>
    </row>
    <row r="43" spans="1:16" s="242" customFormat="1" x14ac:dyDescent="0.25">
      <c r="A43" s="442"/>
      <c r="B43" s="306" t="s">
        <v>585</v>
      </c>
      <c r="C43" s="443"/>
      <c r="D43" s="444"/>
      <c r="E43" s="443"/>
      <c r="F43" s="445"/>
      <c r="G43" s="414">
        <f t="shared" ref="G43:N43" si="18">SUM(G33:G42)</f>
        <v>625814</v>
      </c>
      <c r="H43" s="414">
        <f t="shared" si="18"/>
        <v>359665.03</v>
      </c>
      <c r="I43" s="414">
        <f t="shared" si="18"/>
        <v>266148.96999999997</v>
      </c>
      <c r="J43" s="414">
        <f t="shared" si="18"/>
        <v>217104</v>
      </c>
      <c r="K43" s="414">
        <f t="shared" si="18"/>
        <v>842918</v>
      </c>
      <c r="L43" s="414">
        <f t="shared" si="18"/>
        <v>1020750.0292</v>
      </c>
      <c r="M43" s="414">
        <f t="shared" si="18"/>
        <v>1063475.5647648</v>
      </c>
      <c r="N43" s="414">
        <f t="shared" si="18"/>
        <v>1109094.7843292162</v>
      </c>
      <c r="O43" s="336"/>
    </row>
    <row r="44" spans="1:16" ht="16.5" thickBot="1" x14ac:dyDescent="0.3">
      <c r="A44" s="446"/>
      <c r="C44" s="447"/>
      <c r="D44" s="447"/>
      <c r="E44" s="447"/>
      <c r="F44" s="447"/>
      <c r="L44" s="336"/>
      <c r="M44" s="336"/>
      <c r="N44" s="336"/>
    </row>
    <row r="45" spans="1:16" ht="16.5" thickBot="1" x14ac:dyDescent="0.3">
      <c r="B45" s="306" t="s">
        <v>586</v>
      </c>
      <c r="C45" s="447"/>
      <c r="D45" s="447"/>
      <c r="E45" s="447"/>
      <c r="F45" s="447"/>
      <c r="G45" s="448">
        <f t="shared" ref="G45:N45" si="19">G23+G43+G30</f>
        <v>13154200.902999997</v>
      </c>
      <c r="H45" s="448">
        <f t="shared" si="19"/>
        <v>5264976.08</v>
      </c>
      <c r="I45" s="448">
        <f t="shared" si="19"/>
        <v>7889224.8229999989</v>
      </c>
      <c r="J45" s="448">
        <f t="shared" si="19"/>
        <v>-1637086.94</v>
      </c>
      <c r="K45" s="448">
        <f t="shared" si="19"/>
        <v>11517113.963</v>
      </c>
      <c r="L45" s="448">
        <f t="shared" si="19"/>
        <v>10148191.5732</v>
      </c>
      <c r="M45" s="448">
        <f t="shared" si="19"/>
        <v>10468817.964700799</v>
      </c>
      <c r="N45" s="448">
        <f t="shared" si="19"/>
        <v>10811159.507262336</v>
      </c>
    </row>
  </sheetData>
  <sortState xmlns:xlrd2="http://schemas.microsoft.com/office/spreadsheetml/2017/richdata2" ref="B34:N42">
    <sortCondition ref="B33:B42"/>
  </sortState>
  <mergeCells count="1">
    <mergeCell ref="B1:N4"/>
  </mergeCells>
  <phoneticPr fontId="48" type="noConversion"/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E173-EA4A-48F4-8893-2AB6208E0821}">
  <sheetPr>
    <tabColor rgb="FF7030A0"/>
    <pageSetUpPr fitToPage="1"/>
  </sheetPr>
  <dimension ref="A1:EZ117"/>
  <sheetViews>
    <sheetView topLeftCell="B1" zoomScale="80" zoomScaleNormal="80" workbookViewId="0">
      <pane ySplit="5" topLeftCell="A40" activePane="bottomLeft" state="frozen"/>
      <selection activeCell="B1" sqref="B1"/>
      <selection pane="bottomLeft" activeCell="L45" sqref="L45"/>
    </sheetView>
  </sheetViews>
  <sheetFormatPr defaultColWidth="9.140625" defaultRowHeight="15.75" x14ac:dyDescent="0.25"/>
  <cols>
    <col min="1" max="1" width="70.140625" style="17" hidden="1" customWidth="1"/>
    <col min="2" max="2" width="50" style="17" customWidth="1"/>
    <col min="3" max="3" width="28.28515625" style="553" hidden="1" customWidth="1"/>
    <col min="4" max="4" width="17.5703125" style="553" hidden="1" customWidth="1"/>
    <col min="5" max="5" width="43.42578125" style="554" hidden="1" customWidth="1"/>
    <col min="6" max="6" width="17.5703125" style="553" hidden="1" customWidth="1"/>
    <col min="7" max="7" width="17.5703125" style="241" customWidth="1"/>
    <col min="8" max="9" width="17.5703125" style="241" hidden="1" customWidth="1"/>
    <col min="10" max="13" width="17.5703125" style="241" customWidth="1"/>
    <col min="14" max="14" width="17.5703125" style="508" customWidth="1"/>
    <col min="15" max="15" width="18.140625" style="17" hidden="1" customWidth="1"/>
    <col min="16" max="16" width="16.140625" style="17" hidden="1" customWidth="1"/>
    <col min="17" max="17" width="16.42578125" style="508" hidden="1" customWidth="1"/>
    <col min="18" max="18" width="10.85546875" style="17" hidden="1" customWidth="1"/>
    <col min="19" max="19" width="10" style="509" bestFit="1" customWidth="1"/>
    <col min="20" max="156" width="9.140625" style="509"/>
    <col min="157" max="16384" width="9.140625" style="17"/>
  </cols>
  <sheetData>
    <row r="1" spans="1:18" ht="41.25" customHeight="1" x14ac:dyDescent="0.25">
      <c r="A1" s="507" t="s">
        <v>488</v>
      </c>
      <c r="B1" s="922" t="s">
        <v>1009</v>
      </c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</row>
    <row r="2" spans="1:18" x14ac:dyDescent="0.25">
      <c r="A2" s="128" t="s">
        <v>0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</row>
    <row r="3" spans="1:18" x14ac:dyDescent="0.25">
      <c r="A3" s="126"/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</row>
    <row r="4" spans="1:18" ht="16.5" thickBot="1" x14ac:dyDescent="0.3">
      <c r="A4" s="129" t="s">
        <v>1</v>
      </c>
      <c r="B4" s="924"/>
      <c r="C4" s="924"/>
      <c r="D4" s="924"/>
      <c r="E4" s="924"/>
      <c r="F4" s="924"/>
      <c r="G4" s="924"/>
      <c r="H4" s="924"/>
      <c r="I4" s="924"/>
      <c r="J4" s="924"/>
      <c r="K4" s="924"/>
      <c r="L4" s="924"/>
      <c r="M4" s="924"/>
      <c r="N4" s="924"/>
    </row>
    <row r="5" spans="1:18" ht="84.75" customHeight="1" thickBot="1" x14ac:dyDescent="0.3">
      <c r="A5" s="130" t="s">
        <v>2</v>
      </c>
      <c r="B5" s="300"/>
      <c r="C5" s="301" t="s">
        <v>1030</v>
      </c>
      <c r="D5" s="510" t="s">
        <v>1031</v>
      </c>
      <c r="E5" s="511" t="s">
        <v>306</v>
      </c>
      <c r="F5" s="512" t="s">
        <v>1032</v>
      </c>
      <c r="G5" s="214" t="s">
        <v>1028</v>
      </c>
      <c r="H5" s="214" t="s">
        <v>983</v>
      </c>
      <c r="I5" s="214" t="s">
        <v>1027</v>
      </c>
      <c r="J5" s="214" t="s">
        <v>631</v>
      </c>
      <c r="K5" s="214" t="s">
        <v>1274</v>
      </c>
      <c r="L5" s="304" t="s">
        <v>932</v>
      </c>
      <c r="M5" s="304" t="s">
        <v>996</v>
      </c>
      <c r="N5" s="215" t="s">
        <v>1296</v>
      </c>
    </row>
    <row r="6" spans="1:18" x14ac:dyDescent="0.25">
      <c r="A6" s="131" t="s">
        <v>3</v>
      </c>
      <c r="B6" s="306" t="s">
        <v>548</v>
      </c>
      <c r="C6" s="307"/>
      <c r="D6" s="307"/>
      <c r="E6" s="309"/>
      <c r="F6" s="393"/>
      <c r="G6" s="313"/>
      <c r="H6" s="311"/>
      <c r="I6" s="311"/>
      <c r="J6" s="311"/>
      <c r="K6" s="312"/>
      <c r="L6" s="513"/>
      <c r="M6" s="238"/>
      <c r="N6" s="514"/>
    </row>
    <row r="7" spans="1:18" x14ac:dyDescent="0.25">
      <c r="A7" s="131"/>
      <c r="B7" s="306" t="s">
        <v>549</v>
      </c>
      <c r="C7" s="307"/>
      <c r="D7" s="307"/>
      <c r="E7" s="309"/>
      <c r="F7" s="393"/>
      <c r="G7" s="313"/>
      <c r="H7" s="325"/>
      <c r="I7" s="311"/>
      <c r="J7" s="311"/>
      <c r="K7" s="312"/>
      <c r="L7" s="238"/>
      <c r="M7" s="238"/>
      <c r="N7" s="514"/>
    </row>
    <row r="8" spans="1:18" x14ac:dyDescent="0.25">
      <c r="A8" s="15" t="s">
        <v>66</v>
      </c>
      <c r="B8" s="15" t="s">
        <v>11</v>
      </c>
      <c r="C8" s="314"/>
      <c r="D8" s="314"/>
      <c r="E8" s="318"/>
      <c r="F8" s="131"/>
      <c r="G8" s="313">
        <v>6790279</v>
      </c>
      <c r="H8" s="325">
        <v>2249246.0099999998</v>
      </c>
      <c r="I8" s="311">
        <f>SUM(G8-H8)</f>
        <v>4541032.99</v>
      </c>
      <c r="J8" s="311">
        <f>-2107501.67776-107212</f>
        <v>-2214713.6777599999</v>
      </c>
      <c r="K8" s="312">
        <f>SUM(G8+J8)</f>
        <v>4575565.3222400006</v>
      </c>
      <c r="L8" s="238">
        <v>5545322</v>
      </c>
      <c r="M8" s="238">
        <f>L8*1.044</f>
        <v>5789316.1680000005</v>
      </c>
      <c r="N8" s="238">
        <f>M8*1.044</f>
        <v>6044046.079392001</v>
      </c>
      <c r="O8" s="17">
        <v>4321348.8289200002</v>
      </c>
      <c r="P8" s="515">
        <f>O8-G8</f>
        <v>-2468930.1710799998</v>
      </c>
      <c r="Q8" s="508">
        <v>4682777.3222399997</v>
      </c>
      <c r="R8" s="515">
        <f>Q8-G8</f>
        <v>-2107501.6777600003</v>
      </c>
    </row>
    <row r="9" spans="1:18" x14ac:dyDescent="0.25">
      <c r="A9" s="15" t="s">
        <v>506</v>
      </c>
      <c r="B9" s="15" t="s">
        <v>448</v>
      </c>
      <c r="C9" s="314"/>
      <c r="D9" s="314"/>
      <c r="E9" s="318"/>
      <c r="F9" s="131"/>
      <c r="G9" s="313">
        <v>0</v>
      </c>
      <c r="H9" s="325">
        <f>3637.23+2732.1</f>
        <v>6369.33</v>
      </c>
      <c r="I9" s="311">
        <f t="shared" ref="I9:I20" si="0">SUM(G9-H9)</f>
        <v>-6369.33</v>
      </c>
      <c r="J9" s="311">
        <f>H9*2</f>
        <v>12738.66</v>
      </c>
      <c r="K9" s="312">
        <f t="shared" ref="K9:K20" si="1">SUM(G9+J9)</f>
        <v>12738.66</v>
      </c>
      <c r="L9" s="238">
        <v>8000</v>
      </c>
      <c r="M9" s="325">
        <v>8000</v>
      </c>
      <c r="N9" s="325">
        <v>8000</v>
      </c>
      <c r="P9" s="515">
        <f t="shared" ref="P9:P27" si="2">O9-G9</f>
        <v>0</v>
      </c>
      <c r="R9" s="515">
        <f t="shared" ref="R9:R27" si="3">Q9-G9</f>
        <v>0</v>
      </c>
    </row>
    <row r="10" spans="1:18" s="509" customFormat="1" x14ac:dyDescent="0.25">
      <c r="A10" s="191"/>
      <c r="B10" s="191" t="s">
        <v>1015</v>
      </c>
      <c r="C10" s="244"/>
      <c r="D10" s="244"/>
      <c r="E10" s="246"/>
      <c r="F10" s="442"/>
      <c r="G10" s="238">
        <v>0</v>
      </c>
      <c r="H10" s="325">
        <v>9306.09</v>
      </c>
      <c r="I10" s="325">
        <f t="shared" si="0"/>
        <v>-9306.09</v>
      </c>
      <c r="J10" s="325">
        <v>9306</v>
      </c>
      <c r="K10" s="239">
        <f t="shared" si="1"/>
        <v>9306</v>
      </c>
      <c r="L10" s="238">
        <v>0</v>
      </c>
      <c r="M10" s="238">
        <v>0</v>
      </c>
      <c r="N10" s="238">
        <v>0</v>
      </c>
      <c r="P10" s="516">
        <f t="shared" si="2"/>
        <v>0</v>
      </c>
      <c r="Q10" s="192"/>
      <c r="R10" s="516">
        <f t="shared" si="3"/>
        <v>0</v>
      </c>
    </row>
    <row r="11" spans="1:18" x14ac:dyDescent="0.25">
      <c r="A11" s="15" t="s">
        <v>73</v>
      </c>
      <c r="B11" s="15" t="s">
        <v>25</v>
      </c>
      <c r="C11" s="314"/>
      <c r="D11" s="314"/>
      <c r="E11" s="318"/>
      <c r="F11" s="131"/>
      <c r="G11" s="313">
        <v>90000</v>
      </c>
      <c r="H11" s="325">
        <f>49832.1-2732.1</f>
        <v>47100</v>
      </c>
      <c r="I11" s="311">
        <f t="shared" si="0"/>
        <v>42900</v>
      </c>
      <c r="J11" s="311">
        <v>0</v>
      </c>
      <c r="K11" s="312">
        <f t="shared" si="1"/>
        <v>90000</v>
      </c>
      <c r="L11" s="238">
        <v>120000</v>
      </c>
      <c r="M11" s="238">
        <v>120000</v>
      </c>
      <c r="N11" s="238">
        <v>120000</v>
      </c>
      <c r="O11" s="17">
        <v>38400</v>
      </c>
      <c r="P11" s="515">
        <f t="shared" si="2"/>
        <v>-51600</v>
      </c>
      <c r="Q11" s="508">
        <v>45600</v>
      </c>
      <c r="R11" s="515">
        <f t="shared" si="3"/>
        <v>-44400</v>
      </c>
    </row>
    <row r="12" spans="1:18" x14ac:dyDescent="0.25">
      <c r="A12" s="15" t="s">
        <v>74</v>
      </c>
      <c r="B12" s="15" t="s">
        <v>27</v>
      </c>
      <c r="C12" s="314"/>
      <c r="D12" s="314"/>
      <c r="E12" s="318"/>
      <c r="F12" s="131"/>
      <c r="G12" s="313">
        <v>985380</v>
      </c>
      <c r="H12" s="325">
        <v>385999.81</v>
      </c>
      <c r="I12" s="311">
        <f t="shared" si="0"/>
        <v>599380.18999999994</v>
      </c>
      <c r="J12" s="311">
        <v>-241900</v>
      </c>
      <c r="K12" s="312">
        <f t="shared" si="1"/>
        <v>743480</v>
      </c>
      <c r="L12" s="238">
        <v>1015199</v>
      </c>
      <c r="M12" s="238">
        <v>1015199</v>
      </c>
      <c r="N12" s="238">
        <v>1015199</v>
      </c>
      <c r="O12" s="17">
        <v>767127.60000000009</v>
      </c>
      <c r="P12" s="515">
        <f t="shared" si="2"/>
        <v>-218252.39999999991</v>
      </c>
      <c r="Q12" s="508">
        <v>767127.60000000009</v>
      </c>
      <c r="R12" s="515">
        <f t="shared" si="3"/>
        <v>-218252.39999999991</v>
      </c>
    </row>
    <row r="13" spans="1:18" x14ac:dyDescent="0.25">
      <c r="A13" s="15" t="s">
        <v>75</v>
      </c>
      <c r="B13" s="15" t="s">
        <v>76</v>
      </c>
      <c r="C13" s="314"/>
      <c r="D13" s="314"/>
      <c r="E13" s="318"/>
      <c r="F13" s="131"/>
      <c r="G13" s="313">
        <v>11574</v>
      </c>
      <c r="H13" s="325">
        <v>0</v>
      </c>
      <c r="I13" s="311">
        <f t="shared" si="0"/>
        <v>11574</v>
      </c>
      <c r="J13" s="311"/>
      <c r="K13" s="312">
        <f t="shared" si="1"/>
        <v>11574</v>
      </c>
      <c r="L13" s="238">
        <v>0</v>
      </c>
      <c r="M13" s="238">
        <v>0</v>
      </c>
      <c r="N13" s="238">
        <v>0</v>
      </c>
      <c r="P13" s="515">
        <f t="shared" si="2"/>
        <v>-11574</v>
      </c>
      <c r="R13" s="515">
        <f t="shared" si="3"/>
        <v>-11574</v>
      </c>
    </row>
    <row r="14" spans="1:18" x14ac:dyDescent="0.25">
      <c r="A14" s="15" t="s">
        <v>77</v>
      </c>
      <c r="B14" s="15" t="s">
        <v>29</v>
      </c>
      <c r="C14" s="314"/>
      <c r="D14" s="314"/>
      <c r="E14" s="318"/>
      <c r="F14" s="131"/>
      <c r="G14" s="313">
        <v>7200</v>
      </c>
      <c r="H14" s="325">
        <v>3000</v>
      </c>
      <c r="I14" s="311">
        <f t="shared" si="0"/>
        <v>4200</v>
      </c>
      <c r="J14" s="311">
        <v>0</v>
      </c>
      <c r="K14" s="312">
        <f t="shared" si="1"/>
        <v>7200</v>
      </c>
      <c r="L14" s="238">
        <v>0</v>
      </c>
      <c r="M14" s="238">
        <v>0</v>
      </c>
      <c r="N14" s="238">
        <v>0</v>
      </c>
      <c r="P14" s="515">
        <f t="shared" si="2"/>
        <v>-7200</v>
      </c>
      <c r="R14" s="515">
        <f t="shared" si="3"/>
        <v>-7200</v>
      </c>
    </row>
    <row r="15" spans="1:18" x14ac:dyDescent="0.25">
      <c r="A15" s="15" t="s">
        <v>78</v>
      </c>
      <c r="B15" s="15" t="s">
        <v>31</v>
      </c>
      <c r="C15" s="314"/>
      <c r="D15" s="314"/>
      <c r="E15" s="318"/>
      <c r="F15" s="131"/>
      <c r="G15" s="313">
        <v>565857</v>
      </c>
      <c r="H15" s="325">
        <v>203347.75</v>
      </c>
      <c r="I15" s="311">
        <f t="shared" si="0"/>
        <v>362509.25</v>
      </c>
      <c r="J15" s="311">
        <v>-175626</v>
      </c>
      <c r="K15" s="312">
        <f t="shared" si="1"/>
        <v>390231</v>
      </c>
      <c r="L15" s="238">
        <v>105934</v>
      </c>
      <c r="M15" s="238">
        <v>110595</v>
      </c>
      <c r="N15" s="238">
        <v>115571</v>
      </c>
      <c r="O15" s="17">
        <v>360112.40241000004</v>
      </c>
      <c r="P15" s="515">
        <f t="shared" si="2"/>
        <v>-205744.59758999996</v>
      </c>
      <c r="Q15" s="508">
        <v>390231.44351999997</v>
      </c>
      <c r="R15" s="515">
        <f t="shared" si="3"/>
        <v>-175625.55648000003</v>
      </c>
    </row>
    <row r="16" spans="1:18" x14ac:dyDescent="0.25">
      <c r="A16" s="15"/>
      <c r="B16" s="212" t="s">
        <v>545</v>
      </c>
      <c r="C16" s="321"/>
      <c r="D16" s="321"/>
      <c r="E16" s="323"/>
      <c r="F16" s="517"/>
      <c r="G16" s="313">
        <v>54417</v>
      </c>
      <c r="H16" s="325">
        <v>6475.86</v>
      </c>
      <c r="I16" s="311">
        <f t="shared" si="0"/>
        <v>47941.14</v>
      </c>
      <c r="J16" s="311">
        <v>0</v>
      </c>
      <c r="K16" s="312">
        <f t="shared" si="1"/>
        <v>54417</v>
      </c>
      <c r="L16" s="238">
        <v>0</v>
      </c>
      <c r="M16" s="238">
        <v>0</v>
      </c>
      <c r="N16" s="238">
        <v>0</v>
      </c>
      <c r="P16" s="515">
        <f t="shared" si="2"/>
        <v>-54417</v>
      </c>
      <c r="R16" s="515">
        <f t="shared" si="3"/>
        <v>-54417</v>
      </c>
    </row>
    <row r="17" spans="1:20" x14ac:dyDescent="0.25">
      <c r="A17" s="15" t="s">
        <v>391</v>
      </c>
      <c r="B17" s="15" t="s">
        <v>123</v>
      </c>
      <c r="C17" s="314"/>
      <c r="D17" s="314"/>
      <c r="E17" s="318"/>
      <c r="F17" s="131"/>
      <c r="G17" s="313">
        <v>39167.64</v>
      </c>
      <c r="H17" s="325">
        <v>592056.46</v>
      </c>
      <c r="I17" s="311">
        <f t="shared" si="0"/>
        <v>-552888.81999999995</v>
      </c>
      <c r="J17" s="311">
        <f>H17+G17</f>
        <v>631224.1</v>
      </c>
      <c r="K17" s="312">
        <f t="shared" si="1"/>
        <v>670391.74</v>
      </c>
      <c r="L17" s="238">
        <v>0</v>
      </c>
      <c r="M17" s="238">
        <v>0</v>
      </c>
      <c r="N17" s="238">
        <v>0</v>
      </c>
      <c r="P17" s="515">
        <f t="shared" si="2"/>
        <v>-39167.64</v>
      </c>
      <c r="R17" s="515">
        <f t="shared" si="3"/>
        <v>-39167.64</v>
      </c>
    </row>
    <row r="18" spans="1:20" x14ac:dyDescent="0.25">
      <c r="A18" s="15" t="s">
        <v>505</v>
      </c>
      <c r="B18" s="191" t="s">
        <v>236</v>
      </c>
      <c r="C18" s="314"/>
      <c r="D18" s="314"/>
      <c r="E18" s="318"/>
      <c r="F18" s="131"/>
      <c r="G18" s="313">
        <v>0</v>
      </c>
      <c r="H18" s="325"/>
      <c r="I18" s="311">
        <f t="shared" si="0"/>
        <v>0</v>
      </c>
      <c r="J18" s="311">
        <v>0</v>
      </c>
      <c r="K18" s="312">
        <f t="shared" si="1"/>
        <v>0</v>
      </c>
      <c r="L18" s="238">
        <v>91140</v>
      </c>
      <c r="M18" s="238">
        <v>95150</v>
      </c>
      <c r="N18" s="238">
        <v>99432</v>
      </c>
      <c r="P18" s="515">
        <f t="shared" si="2"/>
        <v>0</v>
      </c>
      <c r="R18" s="515">
        <f t="shared" si="3"/>
        <v>0</v>
      </c>
    </row>
    <row r="19" spans="1:20" x14ac:dyDescent="0.25">
      <c r="A19" s="15" t="s">
        <v>400</v>
      </c>
      <c r="B19" s="15" t="s">
        <v>1307</v>
      </c>
      <c r="C19" s="314"/>
      <c r="D19" s="314"/>
      <c r="E19" s="318"/>
      <c r="F19" s="131"/>
      <c r="G19" s="313">
        <v>41831</v>
      </c>
      <c r="H19" s="325"/>
      <c r="I19" s="311">
        <f t="shared" si="0"/>
        <v>41831</v>
      </c>
      <c r="J19" s="311">
        <v>-41831</v>
      </c>
      <c r="K19" s="312">
        <f t="shared" si="1"/>
        <v>0</v>
      </c>
      <c r="L19" s="238">
        <v>0</v>
      </c>
      <c r="M19" s="238">
        <v>0</v>
      </c>
      <c r="N19" s="238">
        <v>0</v>
      </c>
      <c r="P19" s="515">
        <f t="shared" si="2"/>
        <v>-41831</v>
      </c>
      <c r="R19" s="515">
        <f t="shared" si="3"/>
        <v>-41831</v>
      </c>
    </row>
    <row r="20" spans="1:20" x14ac:dyDescent="0.25">
      <c r="A20" s="15" t="s">
        <v>392</v>
      </c>
      <c r="B20" s="15" t="s">
        <v>328</v>
      </c>
      <c r="C20" s="314"/>
      <c r="D20" s="314"/>
      <c r="E20" s="318"/>
      <c r="F20" s="131"/>
      <c r="G20" s="313">
        <v>72931</v>
      </c>
      <c r="H20" s="325">
        <v>0</v>
      </c>
      <c r="I20" s="311">
        <f t="shared" si="0"/>
        <v>72931</v>
      </c>
      <c r="J20" s="311">
        <v>0</v>
      </c>
      <c r="K20" s="312">
        <f t="shared" si="1"/>
        <v>72931</v>
      </c>
      <c r="L20" s="238">
        <v>0</v>
      </c>
      <c r="M20" s="348">
        <v>0</v>
      </c>
      <c r="N20" s="348">
        <v>0</v>
      </c>
      <c r="P20" s="515">
        <f t="shared" si="2"/>
        <v>-72931</v>
      </c>
      <c r="R20" s="515">
        <f t="shared" si="3"/>
        <v>-72931</v>
      </c>
    </row>
    <row r="21" spans="1:20" x14ac:dyDescent="0.25">
      <c r="A21" s="131"/>
      <c r="B21" s="306" t="s">
        <v>552</v>
      </c>
      <c r="C21" s="411"/>
      <c r="D21" s="411"/>
      <c r="E21" s="518"/>
      <c r="F21" s="415"/>
      <c r="G21" s="331">
        <f t="shared" ref="G21:N21" si="4">SUM(G8:G20)</f>
        <v>8658636.6400000006</v>
      </c>
      <c r="H21" s="349">
        <f t="shared" si="4"/>
        <v>3502901.3099999996</v>
      </c>
      <c r="I21" s="434">
        <f t="shared" si="4"/>
        <v>5155735.3299999991</v>
      </c>
      <c r="J21" s="434">
        <f t="shared" si="4"/>
        <v>-2020801.9177599996</v>
      </c>
      <c r="K21" s="434">
        <f t="shared" si="4"/>
        <v>6637834.722240001</v>
      </c>
      <c r="L21" s="349">
        <f t="shared" si="4"/>
        <v>6885595</v>
      </c>
      <c r="M21" s="349">
        <f t="shared" si="4"/>
        <v>7138260.1680000005</v>
      </c>
      <c r="N21" s="414">
        <f t="shared" si="4"/>
        <v>7402248.079392001</v>
      </c>
      <c r="P21" s="515">
        <f t="shared" si="2"/>
        <v>-8658636.6400000006</v>
      </c>
      <c r="R21" s="515">
        <f t="shared" si="3"/>
        <v>-8658636.6400000006</v>
      </c>
    </row>
    <row r="22" spans="1:20" x14ac:dyDescent="0.25">
      <c r="A22" s="131"/>
      <c r="B22" s="240"/>
      <c r="C22" s="393"/>
      <c r="D22" s="393"/>
      <c r="E22" s="394"/>
      <c r="F22" s="393"/>
      <c r="G22" s="489"/>
      <c r="H22" s="336"/>
      <c r="L22" s="327"/>
      <c r="M22" s="336"/>
      <c r="N22" s="325"/>
      <c r="P22" s="515">
        <f t="shared" si="2"/>
        <v>0</v>
      </c>
      <c r="R22" s="515">
        <f t="shared" si="3"/>
        <v>0</v>
      </c>
    </row>
    <row r="23" spans="1:20" x14ac:dyDescent="0.25">
      <c r="A23" s="131"/>
      <c r="B23" s="306" t="s">
        <v>553</v>
      </c>
      <c r="C23" s="415"/>
      <c r="D23" s="415"/>
      <c r="E23" s="519"/>
      <c r="F23" s="415"/>
      <c r="G23" s="489"/>
      <c r="H23" s="336"/>
      <c r="L23" s="327"/>
      <c r="M23" s="336"/>
      <c r="N23" s="325"/>
      <c r="P23" s="515">
        <f t="shared" si="2"/>
        <v>0</v>
      </c>
      <c r="R23" s="515">
        <f t="shared" si="3"/>
        <v>0</v>
      </c>
    </row>
    <row r="24" spans="1:20" x14ac:dyDescent="0.25">
      <c r="A24" s="15" t="s">
        <v>67</v>
      </c>
      <c r="B24" s="15" t="s">
        <v>13</v>
      </c>
      <c r="C24" s="305"/>
      <c r="D24" s="305"/>
      <c r="E24" s="338"/>
      <c r="F24" s="520"/>
      <c r="G24" s="341">
        <v>832</v>
      </c>
      <c r="H24" s="359">
        <v>335.1</v>
      </c>
      <c r="I24" s="339">
        <f>SUM(G24-H24)</f>
        <v>496.9</v>
      </c>
      <c r="J24" s="339">
        <v>0</v>
      </c>
      <c r="K24" s="340">
        <f>SUM(G24+J24)</f>
        <v>832</v>
      </c>
      <c r="L24" s="344">
        <v>1225</v>
      </c>
      <c r="M24" s="344">
        <v>1225</v>
      </c>
      <c r="N24" s="344">
        <v>1225</v>
      </c>
      <c r="O24" s="17">
        <v>23946.239999999998</v>
      </c>
      <c r="P24" s="515">
        <f t="shared" si="2"/>
        <v>23114.239999999998</v>
      </c>
      <c r="Q24" s="508">
        <v>480</v>
      </c>
      <c r="R24" s="515">
        <f t="shared" si="3"/>
        <v>-352</v>
      </c>
    </row>
    <row r="25" spans="1:20" x14ac:dyDescent="0.25">
      <c r="A25" s="15" t="s">
        <v>68</v>
      </c>
      <c r="B25" s="15" t="s">
        <v>15</v>
      </c>
      <c r="C25" s="314"/>
      <c r="D25" s="314"/>
      <c r="E25" s="318"/>
      <c r="F25" s="458"/>
      <c r="G25" s="313">
        <v>271721</v>
      </c>
      <c r="H25" s="325">
        <v>71899.100000000006</v>
      </c>
      <c r="I25" s="311">
        <f t="shared" ref="I25:I27" si="5">SUM(G25-H25)</f>
        <v>199821.9</v>
      </c>
      <c r="J25" s="311">
        <v>0</v>
      </c>
      <c r="K25" s="312">
        <f t="shared" ref="K25:K27" si="6">SUM(G25+J25)</f>
        <v>271721</v>
      </c>
      <c r="L25" s="238">
        <v>114555</v>
      </c>
      <c r="M25" s="238">
        <v>0</v>
      </c>
      <c r="N25" s="238">
        <v>0</v>
      </c>
      <c r="O25" s="17">
        <v>5074.74</v>
      </c>
      <c r="P25" s="515">
        <f t="shared" si="2"/>
        <v>-266646.26</v>
      </c>
      <c r="Q25" s="508">
        <v>4613.3999999999996</v>
      </c>
      <c r="R25" s="515">
        <f t="shared" si="3"/>
        <v>-267107.59999999998</v>
      </c>
    </row>
    <row r="26" spans="1:20" x14ac:dyDescent="0.25">
      <c r="A26" s="15" t="s">
        <v>69</v>
      </c>
      <c r="B26" s="15" t="s">
        <v>17</v>
      </c>
      <c r="C26" s="314"/>
      <c r="D26" s="314"/>
      <c r="E26" s="318"/>
      <c r="F26" s="458"/>
      <c r="G26" s="313">
        <v>510483</v>
      </c>
      <c r="H26" s="325">
        <v>179526.24</v>
      </c>
      <c r="I26" s="311">
        <f t="shared" si="5"/>
        <v>330956.76</v>
      </c>
      <c r="J26" s="311">
        <v>0</v>
      </c>
      <c r="K26" s="312">
        <f t="shared" si="6"/>
        <v>510483</v>
      </c>
      <c r="L26" s="238">
        <v>218336</v>
      </c>
      <c r="M26" s="238">
        <v>0</v>
      </c>
      <c r="N26" s="238">
        <v>0</v>
      </c>
      <c r="O26" s="17">
        <v>87389.209439999991</v>
      </c>
      <c r="P26" s="515">
        <f t="shared" si="2"/>
        <v>-423093.79055999999</v>
      </c>
      <c r="Q26" s="508">
        <v>87389.209439999991</v>
      </c>
      <c r="R26" s="515">
        <f t="shared" si="3"/>
        <v>-423093.79055999999</v>
      </c>
    </row>
    <row r="27" spans="1:20" x14ac:dyDescent="0.25">
      <c r="A27" s="15" t="s">
        <v>70</v>
      </c>
      <c r="B27" s="15" t="s">
        <v>19</v>
      </c>
      <c r="C27" s="314"/>
      <c r="D27" s="314"/>
      <c r="E27" s="318"/>
      <c r="F27" s="458"/>
      <c r="G27" s="347">
        <v>23200</v>
      </c>
      <c r="H27" s="326">
        <v>7309.27</v>
      </c>
      <c r="I27" s="345">
        <f t="shared" si="5"/>
        <v>15890.73</v>
      </c>
      <c r="J27" s="345">
        <v>0</v>
      </c>
      <c r="K27" s="346">
        <f t="shared" si="6"/>
        <v>23200</v>
      </c>
      <c r="L27" s="348">
        <v>17850</v>
      </c>
      <c r="M27" s="348">
        <v>17850</v>
      </c>
      <c r="N27" s="238">
        <v>17850</v>
      </c>
      <c r="O27" s="17">
        <v>8923.2000000000007</v>
      </c>
      <c r="P27" s="515">
        <f t="shared" si="2"/>
        <v>-14276.8</v>
      </c>
      <c r="Q27" s="508">
        <v>10707.84</v>
      </c>
      <c r="R27" s="515">
        <f t="shared" si="3"/>
        <v>-12492.16</v>
      </c>
    </row>
    <row r="28" spans="1:20" x14ac:dyDescent="0.25">
      <c r="A28" s="131"/>
      <c r="B28" s="306" t="s">
        <v>554</v>
      </c>
      <c r="C28" s="411"/>
      <c r="D28" s="411"/>
      <c r="E28" s="518"/>
      <c r="F28" s="415"/>
      <c r="G28" s="331">
        <f t="shared" ref="G28:N28" si="7">SUM(G24:G27)</f>
        <v>806236</v>
      </c>
      <c r="H28" s="414">
        <f t="shared" si="7"/>
        <v>259069.71</v>
      </c>
      <c r="I28" s="331">
        <f t="shared" si="7"/>
        <v>547166.29</v>
      </c>
      <c r="J28" s="331">
        <f t="shared" si="7"/>
        <v>0</v>
      </c>
      <c r="K28" s="434">
        <f t="shared" si="7"/>
        <v>806236</v>
      </c>
      <c r="L28" s="414">
        <f t="shared" si="7"/>
        <v>351966</v>
      </c>
      <c r="M28" s="414">
        <f t="shared" si="7"/>
        <v>19075</v>
      </c>
      <c r="N28" s="414">
        <f t="shared" si="7"/>
        <v>19075</v>
      </c>
    </row>
    <row r="29" spans="1:20" x14ac:dyDescent="0.25">
      <c r="A29" s="131"/>
      <c r="B29" s="240"/>
      <c r="C29" s="393"/>
      <c r="D29" s="393"/>
      <c r="E29" s="394"/>
      <c r="F29" s="393"/>
      <c r="G29" s="435"/>
      <c r="H29" s="239"/>
      <c r="I29" s="312"/>
      <c r="J29" s="312"/>
      <c r="K29" s="312"/>
      <c r="L29" s="327"/>
      <c r="M29" s="336"/>
      <c r="N29" s="325"/>
    </row>
    <row r="30" spans="1:20" ht="16.5" thickBot="1" x14ac:dyDescent="0.3">
      <c r="A30" s="131"/>
      <c r="B30" s="306" t="s">
        <v>558</v>
      </c>
      <c r="C30" s="504"/>
      <c r="D30" s="504"/>
      <c r="E30" s="505"/>
      <c r="F30" s="504"/>
      <c r="G30" s="487">
        <f t="shared" ref="G30:N30" si="8">G21+G28</f>
        <v>9464872.6400000006</v>
      </c>
      <c r="H30" s="354">
        <f>H21+H28</f>
        <v>3761971.0199999996</v>
      </c>
      <c r="I30" s="353">
        <f t="shared" si="8"/>
        <v>5702901.6199999992</v>
      </c>
      <c r="J30" s="353">
        <f t="shared" si="8"/>
        <v>-2020801.9177599996</v>
      </c>
      <c r="K30" s="353">
        <f t="shared" si="8"/>
        <v>7444070.722240001</v>
      </c>
      <c r="L30" s="355">
        <f t="shared" si="8"/>
        <v>7237561</v>
      </c>
      <c r="M30" s="354">
        <f t="shared" si="8"/>
        <v>7157335.1680000005</v>
      </c>
      <c r="N30" s="521">
        <f t="shared" si="8"/>
        <v>7421323.079392001</v>
      </c>
      <c r="S30" s="516"/>
      <c r="T30" s="522"/>
    </row>
    <row r="31" spans="1:20" x14ac:dyDescent="0.25">
      <c r="A31" s="131"/>
      <c r="B31" s="240"/>
      <c r="C31" s="393"/>
      <c r="D31" s="393"/>
      <c r="E31" s="394"/>
      <c r="F31" s="393"/>
      <c r="G31" s="489"/>
      <c r="H31" s="336"/>
      <c r="L31" s="327"/>
      <c r="M31" s="336"/>
      <c r="N31" s="325"/>
    </row>
    <row r="32" spans="1:20" x14ac:dyDescent="0.25">
      <c r="A32" s="131"/>
      <c r="B32" s="393" t="s">
        <v>559</v>
      </c>
      <c r="C32" s="393"/>
      <c r="D32" s="393"/>
      <c r="E32" s="394"/>
      <c r="F32" s="393"/>
      <c r="G32" s="489"/>
      <c r="H32" s="336"/>
      <c r="L32" s="327"/>
      <c r="M32" s="336"/>
      <c r="N32" s="325"/>
    </row>
    <row r="33" spans="1:14" hidden="1" x14ac:dyDescent="0.25">
      <c r="A33" s="16" t="s">
        <v>393</v>
      </c>
      <c r="B33" s="16" t="s">
        <v>317</v>
      </c>
      <c r="C33" s="523"/>
      <c r="D33" s="523"/>
      <c r="E33" s="524"/>
      <c r="F33" s="523"/>
      <c r="G33" s="341">
        <v>0</v>
      </c>
      <c r="H33" s="359"/>
      <c r="I33" s="339"/>
      <c r="J33" s="339"/>
      <c r="K33" s="340"/>
      <c r="L33" s="370">
        <f t="shared" ref="L33:L37" si="9">K33*1.048</f>
        <v>0</v>
      </c>
      <c r="M33" s="344">
        <f t="shared" ref="M33:M37" si="10">L33*1.044</f>
        <v>0</v>
      </c>
      <c r="N33" s="344">
        <f t="shared" ref="N33:N37" si="11">M33*1.045</f>
        <v>0</v>
      </c>
    </row>
    <row r="34" spans="1:14" x14ac:dyDescent="0.25">
      <c r="A34" s="16" t="s">
        <v>394</v>
      </c>
      <c r="B34" s="16" t="s">
        <v>319</v>
      </c>
      <c r="C34" s="426"/>
      <c r="D34" s="426"/>
      <c r="E34" s="525"/>
      <c r="F34" s="491"/>
      <c r="G34" s="341">
        <v>35427.269999999997</v>
      </c>
      <c r="H34" s="359">
        <v>26321.56</v>
      </c>
      <c r="I34" s="339">
        <f>SUM(G34-H34)</f>
        <v>9105.7099999999955</v>
      </c>
      <c r="J34" s="339">
        <v>20000</v>
      </c>
      <c r="K34" s="340">
        <f>SUM(G34+J34)</f>
        <v>55427.27</v>
      </c>
      <c r="L34" s="344">
        <f t="shared" si="9"/>
        <v>58087.778959999996</v>
      </c>
      <c r="M34" s="344">
        <f t="shared" si="10"/>
        <v>60643.64123424</v>
      </c>
      <c r="N34" s="344">
        <f t="shared" si="11"/>
        <v>63372.605089780795</v>
      </c>
    </row>
    <row r="35" spans="1:14" x14ac:dyDescent="0.25">
      <c r="A35" s="16" t="s">
        <v>395</v>
      </c>
      <c r="B35" s="16" t="s">
        <v>321</v>
      </c>
      <c r="C35" s="428"/>
      <c r="D35" s="428"/>
      <c r="E35" s="526"/>
      <c r="F35" s="493"/>
      <c r="G35" s="313">
        <v>95985.03</v>
      </c>
      <c r="H35" s="325">
        <v>55377.73</v>
      </c>
      <c r="I35" s="311">
        <f t="shared" ref="I35:I37" si="12">SUM(G35-H35)</f>
        <v>40607.299999999996</v>
      </c>
      <c r="J35" s="311">
        <v>0</v>
      </c>
      <c r="K35" s="312">
        <f t="shared" ref="K35:K37" si="13">SUM(G35+J35)</f>
        <v>95985.03</v>
      </c>
      <c r="L35" s="238">
        <f t="shared" si="9"/>
        <v>100592.31144</v>
      </c>
      <c r="M35" s="238">
        <f t="shared" si="10"/>
        <v>105018.37314336</v>
      </c>
      <c r="N35" s="238">
        <f t="shared" si="11"/>
        <v>109744.1999348112</v>
      </c>
    </row>
    <row r="36" spans="1:14" x14ac:dyDescent="0.25">
      <c r="A36" s="16"/>
      <c r="B36" s="16" t="s">
        <v>991</v>
      </c>
      <c r="C36" s="428"/>
      <c r="D36" s="428"/>
      <c r="E36" s="526"/>
      <c r="F36" s="493"/>
      <c r="G36" s="313">
        <v>588803.48</v>
      </c>
      <c r="H36" s="325">
        <v>108912.56</v>
      </c>
      <c r="I36" s="311">
        <f t="shared" si="12"/>
        <v>479890.92</v>
      </c>
      <c r="J36" s="311">
        <f>379453-121117</f>
        <v>258336</v>
      </c>
      <c r="K36" s="312">
        <f t="shared" si="13"/>
        <v>847139.48</v>
      </c>
      <c r="L36" s="238">
        <f t="shared" si="9"/>
        <v>887802.17504</v>
      </c>
      <c r="M36" s="238">
        <f t="shared" si="10"/>
        <v>926865.47074175999</v>
      </c>
      <c r="N36" s="238">
        <f t="shared" si="11"/>
        <v>968574.41692513914</v>
      </c>
    </row>
    <row r="37" spans="1:14" hidden="1" x14ac:dyDescent="0.25">
      <c r="A37" s="16"/>
      <c r="B37" s="16" t="s">
        <v>865</v>
      </c>
      <c r="C37" s="428"/>
      <c r="D37" s="428"/>
      <c r="E37" s="526"/>
      <c r="F37" s="493"/>
      <c r="G37" s="313">
        <v>0</v>
      </c>
      <c r="H37" s="325"/>
      <c r="I37" s="311">
        <f t="shared" si="12"/>
        <v>0</v>
      </c>
      <c r="J37" s="311"/>
      <c r="K37" s="312">
        <f t="shared" si="13"/>
        <v>0</v>
      </c>
      <c r="L37" s="527">
        <f t="shared" si="9"/>
        <v>0</v>
      </c>
      <c r="M37" s="238">
        <f t="shared" si="10"/>
        <v>0</v>
      </c>
      <c r="N37" s="238">
        <f t="shared" si="11"/>
        <v>0</v>
      </c>
    </row>
    <row r="38" spans="1:14" x14ac:dyDescent="0.25">
      <c r="A38" s="131"/>
      <c r="B38" s="393" t="s">
        <v>566</v>
      </c>
      <c r="C38" s="411"/>
      <c r="D38" s="411"/>
      <c r="E38" s="518"/>
      <c r="F38" s="415"/>
      <c r="G38" s="417">
        <f t="shared" ref="G38:N38" si="14">SUM(G33:G37)</f>
        <v>720215.78</v>
      </c>
      <c r="H38" s="417">
        <f t="shared" si="14"/>
        <v>190611.85</v>
      </c>
      <c r="I38" s="417">
        <f t="shared" si="14"/>
        <v>529603.92999999993</v>
      </c>
      <c r="J38" s="417">
        <f t="shared" si="14"/>
        <v>278336</v>
      </c>
      <c r="K38" s="528">
        <f t="shared" si="14"/>
        <v>998551.78</v>
      </c>
      <c r="L38" s="414">
        <f t="shared" si="14"/>
        <v>1046482.26544</v>
      </c>
      <c r="M38" s="529">
        <f t="shared" si="14"/>
        <v>1092527.48511936</v>
      </c>
      <c r="N38" s="529">
        <f t="shared" si="14"/>
        <v>1141691.2219497312</v>
      </c>
    </row>
    <row r="39" spans="1:14" x14ac:dyDescent="0.25">
      <c r="A39" s="131"/>
      <c r="B39" s="240"/>
      <c r="C39" s="393"/>
      <c r="D39" s="393"/>
      <c r="E39" s="394"/>
      <c r="F39" s="393"/>
      <c r="G39" s="489"/>
      <c r="H39" s="336"/>
      <c r="L39" s="327"/>
      <c r="M39" s="336"/>
      <c r="N39" s="325"/>
    </row>
    <row r="40" spans="1:14" x14ac:dyDescent="0.25">
      <c r="A40" s="131"/>
      <c r="B40" s="306" t="s">
        <v>569</v>
      </c>
      <c r="C40" s="393"/>
      <c r="D40" s="393"/>
      <c r="E40" s="394"/>
      <c r="F40" s="393"/>
      <c r="G40" s="489"/>
      <c r="H40" s="336"/>
      <c r="L40" s="327"/>
      <c r="M40" s="336"/>
      <c r="N40" s="336"/>
    </row>
    <row r="41" spans="1:14" ht="18.2" customHeight="1" x14ac:dyDescent="0.25">
      <c r="A41" s="15" t="s">
        <v>63</v>
      </c>
      <c r="B41" s="15" t="s">
        <v>5</v>
      </c>
      <c r="C41" s="305" t="s">
        <v>313</v>
      </c>
      <c r="D41" s="305" t="s">
        <v>1150</v>
      </c>
      <c r="E41" s="337" t="s">
        <v>1096</v>
      </c>
      <c r="F41" s="439" t="s">
        <v>1093</v>
      </c>
      <c r="G41" s="343">
        <f>G30*1/100</f>
        <v>94648.7264</v>
      </c>
      <c r="H41" s="343">
        <v>33511.339999999997</v>
      </c>
      <c r="I41" s="343">
        <f>SUM(G41-H41)</f>
        <v>61137.386400000003</v>
      </c>
      <c r="J41" s="344">
        <v>0</v>
      </c>
      <c r="K41" s="344">
        <f>SUM(G41+J41)</f>
        <v>94648.7264</v>
      </c>
      <c r="L41" s="344">
        <f>L30*1/100</f>
        <v>72375.61</v>
      </c>
      <c r="M41" s="344">
        <f>M30*1/100</f>
        <v>71573.351680000007</v>
      </c>
      <c r="N41" s="359">
        <f>N30*1/100</f>
        <v>74213.230793920011</v>
      </c>
    </row>
    <row r="42" spans="1:14" ht="18.2" customHeight="1" x14ac:dyDescent="0.25">
      <c r="A42" s="15"/>
      <c r="B42" s="15" t="s">
        <v>1313</v>
      </c>
      <c r="C42" s="314"/>
      <c r="D42" s="314"/>
      <c r="E42" s="317"/>
      <c r="F42" s="245"/>
      <c r="G42" s="237"/>
      <c r="H42" s="237"/>
      <c r="I42" s="237"/>
      <c r="J42" s="238"/>
      <c r="K42" s="238"/>
      <c r="L42" s="238">
        <v>2000</v>
      </c>
      <c r="M42" s="238">
        <v>2000</v>
      </c>
      <c r="N42" s="325">
        <v>2000</v>
      </c>
    </row>
    <row r="43" spans="1:14" ht="18.95" customHeight="1" x14ac:dyDescent="0.25">
      <c r="A43" s="15" t="s">
        <v>64</v>
      </c>
      <c r="B43" s="191" t="s">
        <v>1255</v>
      </c>
      <c r="C43" s="244" t="s">
        <v>478</v>
      </c>
      <c r="D43" s="244" t="s">
        <v>1150</v>
      </c>
      <c r="E43" s="245" t="s">
        <v>1105</v>
      </c>
      <c r="F43" s="244"/>
      <c r="G43" s="237">
        <v>52881</v>
      </c>
      <c r="H43" s="237">
        <v>0</v>
      </c>
      <c r="I43" s="237">
        <f>SUM(G43-H43)</f>
        <v>52881</v>
      </c>
      <c r="J43" s="238">
        <v>0</v>
      </c>
      <c r="K43" s="238">
        <f>SUM(G43+J43)</f>
        <v>52881</v>
      </c>
      <c r="L43" s="238">
        <f>60000</f>
        <v>60000</v>
      </c>
      <c r="M43" s="238">
        <f>L43*1.044</f>
        <v>62640</v>
      </c>
      <c r="N43" s="325">
        <f>M43*1.045</f>
        <v>65458.799999999996</v>
      </c>
    </row>
    <row r="44" spans="1:14" ht="18.95" customHeight="1" x14ac:dyDescent="0.25">
      <c r="A44" s="15" t="s">
        <v>65</v>
      </c>
      <c r="B44" s="191" t="s">
        <v>1195</v>
      </c>
      <c r="C44" s="244" t="s">
        <v>313</v>
      </c>
      <c r="D44" s="244" t="s">
        <v>1150</v>
      </c>
      <c r="E44" s="245" t="s">
        <v>1196</v>
      </c>
      <c r="F44" s="245" t="s">
        <v>1171</v>
      </c>
      <c r="G44" s="237"/>
      <c r="H44" s="237"/>
      <c r="I44" s="237"/>
      <c r="J44" s="238"/>
      <c r="K44" s="238"/>
      <c r="L44" s="238">
        <f>500000-250000</f>
        <v>250000</v>
      </c>
      <c r="M44" s="238">
        <v>0</v>
      </c>
      <c r="N44" s="325">
        <v>0</v>
      </c>
    </row>
    <row r="45" spans="1:14" ht="19.5" customHeight="1" x14ac:dyDescent="0.25">
      <c r="A45" s="15"/>
      <c r="B45" s="191" t="s">
        <v>81</v>
      </c>
      <c r="C45" s="244" t="s">
        <v>313</v>
      </c>
      <c r="D45" s="244" t="s">
        <v>1150</v>
      </c>
      <c r="E45" s="245" t="s">
        <v>1142</v>
      </c>
      <c r="F45" s="245" t="s">
        <v>1093</v>
      </c>
      <c r="G45" s="237">
        <v>1000000</v>
      </c>
      <c r="H45" s="237">
        <v>473387.27</v>
      </c>
      <c r="I45" s="237">
        <f>SUM(G45-H45)</f>
        <v>526612.73</v>
      </c>
      <c r="J45" s="238"/>
      <c r="K45" s="238">
        <f t="shared" ref="K45:K51" si="15">SUM(G45+J45)</f>
        <v>1000000</v>
      </c>
      <c r="L45" s="238">
        <f>1000000-250000-125000-125000</f>
        <v>500000</v>
      </c>
      <c r="M45" s="238">
        <v>600000</v>
      </c>
      <c r="N45" s="325">
        <v>600000</v>
      </c>
    </row>
    <row r="46" spans="1:14" hidden="1" x14ac:dyDescent="0.25">
      <c r="A46" s="15"/>
      <c r="B46" s="191" t="s">
        <v>975</v>
      </c>
      <c r="C46" s="244"/>
      <c r="D46" s="244" t="s">
        <v>1150</v>
      </c>
      <c r="E46" s="245"/>
      <c r="F46" s="244"/>
      <c r="G46" s="237">
        <v>0</v>
      </c>
      <c r="H46" s="237"/>
      <c r="I46" s="237">
        <f>SUM(G46-H46)</f>
        <v>0</v>
      </c>
      <c r="J46" s="238"/>
      <c r="K46" s="238">
        <f t="shared" si="15"/>
        <v>0</v>
      </c>
      <c r="L46" s="238">
        <f>K46*1.048</f>
        <v>0</v>
      </c>
      <c r="M46" s="238">
        <v>0</v>
      </c>
      <c r="N46" s="325">
        <v>0</v>
      </c>
    </row>
    <row r="47" spans="1:14" ht="18.95" customHeight="1" x14ac:dyDescent="0.25">
      <c r="A47" s="15"/>
      <c r="B47" s="191" t="s">
        <v>1253</v>
      </c>
      <c r="C47" s="244" t="s">
        <v>1146</v>
      </c>
      <c r="D47" s="244" t="s">
        <v>1150</v>
      </c>
      <c r="E47" s="245" t="s">
        <v>1105</v>
      </c>
      <c r="F47" s="244"/>
      <c r="G47" s="237">
        <v>0</v>
      </c>
      <c r="H47" s="237">
        <v>26500</v>
      </c>
      <c r="I47" s="237">
        <f>SUM(G47-H47)</f>
        <v>-26500</v>
      </c>
      <c r="J47" s="238">
        <v>76500</v>
      </c>
      <c r="K47" s="238">
        <f t="shared" si="15"/>
        <v>76500</v>
      </c>
      <c r="L47" s="238">
        <v>0</v>
      </c>
      <c r="M47" s="238">
        <f>L47*1.044</f>
        <v>0</v>
      </c>
      <c r="N47" s="325">
        <f>M47*1.045</f>
        <v>0</v>
      </c>
    </row>
    <row r="48" spans="1:14" ht="18.95" customHeight="1" x14ac:dyDescent="0.25">
      <c r="A48" s="15"/>
      <c r="B48" s="191" t="s">
        <v>1252</v>
      </c>
      <c r="C48" s="244" t="s">
        <v>1146</v>
      </c>
      <c r="D48" s="244" t="s">
        <v>1150</v>
      </c>
      <c r="E48" s="245" t="s">
        <v>1106</v>
      </c>
      <c r="F48" s="244"/>
      <c r="G48" s="237">
        <v>0</v>
      </c>
      <c r="H48" s="237">
        <v>83150</v>
      </c>
      <c r="I48" s="237">
        <f>SUM(G48-H48)</f>
        <v>-83150</v>
      </c>
      <c r="J48" s="238">
        <v>163150</v>
      </c>
      <c r="K48" s="238">
        <f t="shared" si="15"/>
        <v>163150</v>
      </c>
      <c r="L48" s="238">
        <v>0</v>
      </c>
      <c r="M48" s="238">
        <f>L48*1.044</f>
        <v>0</v>
      </c>
      <c r="N48" s="325">
        <f>M48*1.045</f>
        <v>0</v>
      </c>
    </row>
    <row r="49" spans="1:18" ht="28.5" hidden="1" customHeight="1" x14ac:dyDescent="0.25">
      <c r="A49" s="15"/>
      <c r="B49" s="191" t="s">
        <v>1254</v>
      </c>
      <c r="C49" s="244" t="s">
        <v>1146</v>
      </c>
      <c r="D49" s="244" t="s">
        <v>1150</v>
      </c>
      <c r="E49" s="245" t="s">
        <v>1144</v>
      </c>
      <c r="F49" s="244"/>
      <c r="G49" s="237">
        <v>0</v>
      </c>
      <c r="H49" s="237">
        <v>0</v>
      </c>
      <c r="I49" s="237">
        <v>0</v>
      </c>
      <c r="J49" s="238">
        <v>0</v>
      </c>
      <c r="K49" s="238">
        <f t="shared" si="15"/>
        <v>0</v>
      </c>
      <c r="L49" s="238">
        <v>0</v>
      </c>
      <c r="M49" s="238">
        <f>L49*1.044</f>
        <v>0</v>
      </c>
      <c r="N49" s="325">
        <f>M49*1.045</f>
        <v>0</v>
      </c>
    </row>
    <row r="50" spans="1:18" s="509" customFormat="1" ht="18.95" customHeight="1" x14ac:dyDescent="0.25">
      <c r="A50" s="191" t="s">
        <v>402</v>
      </c>
      <c r="B50" s="191" t="s">
        <v>1272</v>
      </c>
      <c r="C50" s="244" t="s">
        <v>313</v>
      </c>
      <c r="D50" s="244" t="s">
        <v>1150</v>
      </c>
      <c r="E50" s="245" t="s">
        <v>1145</v>
      </c>
      <c r="F50" s="244"/>
      <c r="G50" s="237">
        <v>1100000</v>
      </c>
      <c r="H50" s="237">
        <v>389287</v>
      </c>
      <c r="I50" s="237">
        <f>SUM(G50-H50)</f>
        <v>710713</v>
      </c>
      <c r="J50" s="238">
        <v>0</v>
      </c>
      <c r="K50" s="238">
        <f t="shared" si="15"/>
        <v>1100000</v>
      </c>
      <c r="L50" s="238">
        <v>500000</v>
      </c>
      <c r="M50" s="238">
        <f>L50*1.044</f>
        <v>522000</v>
      </c>
      <c r="N50" s="325">
        <f>M50*1.045</f>
        <v>545490</v>
      </c>
      <c r="Q50" s="192"/>
    </row>
    <row r="51" spans="1:18" ht="18.95" customHeight="1" x14ac:dyDescent="0.25">
      <c r="A51" s="15" t="s">
        <v>71</v>
      </c>
      <c r="B51" s="191" t="s">
        <v>1192</v>
      </c>
      <c r="C51" s="244" t="s">
        <v>313</v>
      </c>
      <c r="D51" s="244" t="s">
        <v>1193</v>
      </c>
      <c r="E51" s="245" t="s">
        <v>1139</v>
      </c>
      <c r="F51" s="245" t="s">
        <v>1171</v>
      </c>
      <c r="G51" s="237">
        <v>212787</v>
      </c>
      <c r="H51" s="237"/>
      <c r="I51" s="237">
        <f>SUM(G51-H51)</f>
        <v>212787</v>
      </c>
      <c r="J51" s="238">
        <v>0</v>
      </c>
      <c r="K51" s="238">
        <f t="shared" si="15"/>
        <v>212787</v>
      </c>
      <c r="L51" s="238">
        <f>500000-350000</f>
        <v>150000</v>
      </c>
      <c r="M51" s="238">
        <v>150000</v>
      </c>
      <c r="N51" s="325">
        <v>150000</v>
      </c>
    </row>
    <row r="52" spans="1:18" ht="18.95" customHeight="1" x14ac:dyDescent="0.25">
      <c r="A52" s="15" t="s">
        <v>72</v>
      </c>
      <c r="B52" s="191" t="s">
        <v>1194</v>
      </c>
      <c r="C52" s="244" t="s">
        <v>313</v>
      </c>
      <c r="D52" s="244" t="s">
        <v>1150</v>
      </c>
      <c r="E52" s="245" t="s">
        <v>1139</v>
      </c>
      <c r="F52" s="245" t="s">
        <v>1171</v>
      </c>
      <c r="G52" s="237"/>
      <c r="H52" s="237"/>
      <c r="I52" s="237"/>
      <c r="J52" s="238"/>
      <c r="K52" s="238"/>
      <c r="L52" s="238">
        <f>200000-100000</f>
        <v>100000</v>
      </c>
      <c r="M52" s="238">
        <v>100000</v>
      </c>
      <c r="N52" s="325">
        <v>100000</v>
      </c>
    </row>
    <row r="53" spans="1:18" x14ac:dyDescent="0.25">
      <c r="A53" s="15" t="s">
        <v>396</v>
      </c>
      <c r="B53" s="530" t="s">
        <v>1204</v>
      </c>
      <c r="C53" s="531"/>
      <c r="D53" s="531"/>
      <c r="E53" s="532"/>
      <c r="F53" s="531"/>
      <c r="G53" s="237"/>
      <c r="H53" s="237"/>
      <c r="I53" s="237"/>
      <c r="J53" s="238"/>
      <c r="K53" s="238"/>
      <c r="L53" s="238">
        <v>50000</v>
      </c>
      <c r="M53" s="238">
        <f>G53*1.042</f>
        <v>0</v>
      </c>
      <c r="N53" s="325">
        <f>M53*1.044</f>
        <v>0</v>
      </c>
    </row>
    <row r="54" spans="1:18" ht="18.95" customHeight="1" x14ac:dyDescent="0.25">
      <c r="A54" s="15" t="s">
        <v>397</v>
      </c>
      <c r="B54" s="360" t="s">
        <v>264</v>
      </c>
      <c r="C54" s="361" t="s">
        <v>456</v>
      </c>
      <c r="D54" s="361" t="s">
        <v>1150</v>
      </c>
      <c r="E54" s="362" t="s">
        <v>1143</v>
      </c>
      <c r="F54" s="361"/>
      <c r="G54" s="237">
        <v>50000</v>
      </c>
      <c r="H54" s="237"/>
      <c r="I54" s="237">
        <f t="shared" ref="I54:I59" si="16">SUM(G54-H54)</f>
        <v>50000</v>
      </c>
      <c r="J54" s="238">
        <v>0</v>
      </c>
      <c r="K54" s="238">
        <f t="shared" ref="K54:K59" si="17">SUM(G54+J54)</f>
        <v>50000</v>
      </c>
      <c r="L54" s="238">
        <f>K54*1.048+50000</f>
        <v>102400</v>
      </c>
      <c r="M54" s="238">
        <f t="shared" ref="M54:M58" si="18">L54*1.044</f>
        <v>106905.60000000001</v>
      </c>
      <c r="N54" s="325">
        <f t="shared" ref="N54:N58" si="19">M54*1.045</f>
        <v>111716.352</v>
      </c>
    </row>
    <row r="55" spans="1:18" s="509" customFormat="1" ht="18.95" customHeight="1" x14ac:dyDescent="0.25">
      <c r="A55" s="191" t="s">
        <v>398</v>
      </c>
      <c r="B55" s="360" t="s">
        <v>262</v>
      </c>
      <c r="C55" s="361" t="s">
        <v>456</v>
      </c>
      <c r="D55" s="361" t="s">
        <v>1150</v>
      </c>
      <c r="E55" s="362" t="s">
        <v>1106</v>
      </c>
      <c r="F55" s="361"/>
      <c r="G55" s="237">
        <v>50000</v>
      </c>
      <c r="H55" s="237">
        <v>24200</v>
      </c>
      <c r="I55" s="237">
        <f t="shared" si="16"/>
        <v>25800</v>
      </c>
      <c r="J55" s="238">
        <v>0</v>
      </c>
      <c r="K55" s="238">
        <f t="shared" si="17"/>
        <v>50000</v>
      </c>
      <c r="L55" s="238">
        <f>K55*1.048+50000</f>
        <v>102400</v>
      </c>
      <c r="M55" s="238">
        <f t="shared" si="18"/>
        <v>106905.60000000001</v>
      </c>
      <c r="N55" s="325">
        <f t="shared" si="19"/>
        <v>111716.352</v>
      </c>
      <c r="Q55" s="192"/>
    </row>
    <row r="56" spans="1:18" ht="18.95" customHeight="1" x14ac:dyDescent="0.25">
      <c r="A56" s="15" t="s">
        <v>399</v>
      </c>
      <c r="B56" s="360" t="s">
        <v>457</v>
      </c>
      <c r="C56" s="361" t="s">
        <v>456</v>
      </c>
      <c r="D56" s="361" t="s">
        <v>1150</v>
      </c>
      <c r="E56" s="362" t="s">
        <v>1114</v>
      </c>
      <c r="F56" s="361"/>
      <c r="G56" s="237">
        <v>50000</v>
      </c>
      <c r="H56" s="237"/>
      <c r="I56" s="237">
        <f t="shared" si="16"/>
        <v>50000</v>
      </c>
      <c r="J56" s="238">
        <v>0</v>
      </c>
      <c r="K56" s="238">
        <f t="shared" si="17"/>
        <v>50000</v>
      </c>
      <c r="L56" s="238">
        <f>K56*1.048+50000</f>
        <v>102400</v>
      </c>
      <c r="M56" s="238">
        <f t="shared" si="18"/>
        <v>106905.60000000001</v>
      </c>
      <c r="N56" s="325">
        <f t="shared" si="19"/>
        <v>111716.352</v>
      </c>
    </row>
    <row r="57" spans="1:18" s="509" customFormat="1" ht="18.95" customHeight="1" x14ac:dyDescent="0.25">
      <c r="A57" s="191"/>
      <c r="B57" s="360" t="s">
        <v>274</v>
      </c>
      <c r="C57" s="361" t="s">
        <v>473</v>
      </c>
      <c r="D57" s="361" t="s">
        <v>1150</v>
      </c>
      <c r="E57" s="362" t="s">
        <v>1105</v>
      </c>
      <c r="F57" s="361"/>
      <c r="G57" s="237">
        <v>0</v>
      </c>
      <c r="H57" s="237">
        <v>0</v>
      </c>
      <c r="I57" s="237">
        <f t="shared" si="16"/>
        <v>0</v>
      </c>
      <c r="J57" s="238">
        <v>0</v>
      </c>
      <c r="K57" s="238">
        <f t="shared" si="17"/>
        <v>0</v>
      </c>
      <c r="L57" s="238">
        <v>100000</v>
      </c>
      <c r="M57" s="238">
        <f t="shared" si="18"/>
        <v>104400</v>
      </c>
      <c r="N57" s="325">
        <f t="shared" si="19"/>
        <v>109097.99999999999</v>
      </c>
      <c r="Q57" s="192"/>
    </row>
    <row r="58" spans="1:18" ht="18.95" customHeight="1" x14ac:dyDescent="0.25">
      <c r="A58" s="15" t="s">
        <v>79</v>
      </c>
      <c r="B58" s="360" t="s">
        <v>474</v>
      </c>
      <c r="C58" s="361" t="s">
        <v>473</v>
      </c>
      <c r="D58" s="361" t="s">
        <v>1150</v>
      </c>
      <c r="E58" s="362" t="s">
        <v>1114</v>
      </c>
      <c r="F58" s="361"/>
      <c r="G58" s="237">
        <v>0</v>
      </c>
      <c r="H58" s="237">
        <v>0</v>
      </c>
      <c r="I58" s="237">
        <f t="shared" si="16"/>
        <v>0</v>
      </c>
      <c r="J58" s="238">
        <v>0</v>
      </c>
      <c r="K58" s="238">
        <f t="shared" si="17"/>
        <v>0</v>
      </c>
      <c r="L58" s="238">
        <v>50000</v>
      </c>
      <c r="M58" s="238">
        <f t="shared" si="18"/>
        <v>52200</v>
      </c>
      <c r="N58" s="325">
        <f t="shared" si="19"/>
        <v>54548.999999999993</v>
      </c>
      <c r="O58" s="515"/>
    </row>
    <row r="59" spans="1:18" s="509" customFormat="1" ht="20.25" customHeight="1" x14ac:dyDescent="0.25">
      <c r="A59" s="191"/>
      <c r="B59" s="191" t="s">
        <v>476</v>
      </c>
      <c r="C59" s="244" t="s">
        <v>473</v>
      </c>
      <c r="D59" s="244" t="s">
        <v>1150</v>
      </c>
      <c r="E59" s="245" t="s">
        <v>1106</v>
      </c>
      <c r="F59" s="244"/>
      <c r="G59" s="237">
        <v>0</v>
      </c>
      <c r="H59" s="237">
        <v>126950</v>
      </c>
      <c r="I59" s="237">
        <f t="shared" si="16"/>
        <v>-126950</v>
      </c>
      <c r="J59" s="238">
        <v>226950</v>
      </c>
      <c r="K59" s="238">
        <f t="shared" si="17"/>
        <v>226950</v>
      </c>
      <c r="L59" s="238">
        <f>K59*1.048</f>
        <v>237843.6</v>
      </c>
      <c r="M59" s="238">
        <v>230000</v>
      </c>
      <c r="N59" s="325">
        <v>230000</v>
      </c>
      <c r="O59" s="516"/>
      <c r="Q59" s="192"/>
    </row>
    <row r="60" spans="1:18" s="509" customFormat="1" x14ac:dyDescent="0.25">
      <c r="A60" s="191"/>
      <c r="B60" s="191" t="s">
        <v>1197</v>
      </c>
      <c r="C60" s="244" t="s">
        <v>313</v>
      </c>
      <c r="D60" s="244"/>
      <c r="E60" s="533"/>
      <c r="F60" s="245" t="s">
        <v>1171</v>
      </c>
      <c r="G60" s="237">
        <v>0</v>
      </c>
      <c r="H60" s="237">
        <v>0</v>
      </c>
      <c r="I60" s="237">
        <v>0</v>
      </c>
      <c r="J60" s="237">
        <v>0</v>
      </c>
      <c r="K60" s="238">
        <v>0</v>
      </c>
      <c r="L60" s="238">
        <v>20000</v>
      </c>
      <c r="M60" s="238">
        <v>50000</v>
      </c>
      <c r="N60" s="325">
        <v>100000</v>
      </c>
      <c r="O60" s="516"/>
      <c r="Q60" s="192"/>
    </row>
    <row r="61" spans="1:18" s="509" customFormat="1" x14ac:dyDescent="0.25">
      <c r="A61" s="191"/>
      <c r="B61" s="191" t="s">
        <v>1199</v>
      </c>
      <c r="C61" s="244" t="s">
        <v>313</v>
      </c>
      <c r="D61" s="244" t="s">
        <v>1150</v>
      </c>
      <c r="E61" s="533" t="s">
        <v>1200</v>
      </c>
      <c r="F61" s="245" t="s">
        <v>1171</v>
      </c>
      <c r="G61" s="237">
        <v>0</v>
      </c>
      <c r="H61" s="237">
        <v>0</v>
      </c>
      <c r="I61" s="237">
        <v>0</v>
      </c>
      <c r="J61" s="237">
        <v>0</v>
      </c>
      <c r="K61" s="238">
        <v>0</v>
      </c>
      <c r="L61" s="238">
        <v>80000</v>
      </c>
      <c r="M61" s="238">
        <v>100000</v>
      </c>
      <c r="N61" s="325">
        <v>100000</v>
      </c>
      <c r="O61" s="516"/>
      <c r="Q61" s="192"/>
    </row>
    <row r="62" spans="1:18" s="509" customFormat="1" ht="31.5" hidden="1" x14ac:dyDescent="0.25">
      <c r="A62" s="191" t="s">
        <v>80</v>
      </c>
      <c r="B62" s="360" t="s">
        <v>460</v>
      </c>
      <c r="C62" s="361" t="s">
        <v>459</v>
      </c>
      <c r="D62" s="361" t="s">
        <v>1150</v>
      </c>
      <c r="E62" s="362" t="s">
        <v>1113</v>
      </c>
      <c r="F62" s="245"/>
      <c r="G62" s="237">
        <v>0</v>
      </c>
      <c r="H62" s="237"/>
      <c r="I62" s="237">
        <f t="shared" ref="I62:I67" si="20">SUM(G62-H62)</f>
        <v>0</v>
      </c>
      <c r="J62" s="238"/>
      <c r="K62" s="238">
        <f t="shared" ref="K62:K68" si="21">SUM(G62+J62)</f>
        <v>0</v>
      </c>
      <c r="L62" s="238">
        <f t="shared" ref="L62:L67" si="22">K62*1.048</f>
        <v>0</v>
      </c>
      <c r="M62" s="238">
        <f t="shared" ref="M62:M67" si="23">L62*1.044</f>
        <v>0</v>
      </c>
      <c r="N62" s="325">
        <f t="shared" ref="N62:N67" si="24">M62*1.045</f>
        <v>0</v>
      </c>
      <c r="Q62" s="192"/>
    </row>
    <row r="63" spans="1:18" ht="31.5" hidden="1" x14ac:dyDescent="0.25">
      <c r="A63" s="15" t="s">
        <v>452</v>
      </c>
      <c r="B63" s="360" t="s">
        <v>89</v>
      </c>
      <c r="C63" s="361" t="s">
        <v>459</v>
      </c>
      <c r="D63" s="361" t="s">
        <v>1150</v>
      </c>
      <c r="E63" s="362" t="s">
        <v>1106</v>
      </c>
      <c r="F63" s="361"/>
      <c r="G63" s="237">
        <v>0</v>
      </c>
      <c r="H63" s="237"/>
      <c r="I63" s="237">
        <f t="shared" si="20"/>
        <v>0</v>
      </c>
      <c r="J63" s="238"/>
      <c r="K63" s="238">
        <f t="shared" si="21"/>
        <v>0</v>
      </c>
      <c r="L63" s="238">
        <f t="shared" si="22"/>
        <v>0</v>
      </c>
      <c r="M63" s="238">
        <f t="shared" si="23"/>
        <v>0</v>
      </c>
      <c r="N63" s="325">
        <f t="shared" si="24"/>
        <v>0</v>
      </c>
      <c r="R63" s="515" t="e">
        <f>#REF!+#REF!+#REF!+#REF!+#REF!+#REF!+#REF!+#REF!+#REF!+#REF!+#REF!+#REF!</f>
        <v>#REF!</v>
      </c>
    </row>
    <row r="64" spans="1:18" ht="31.5" hidden="1" x14ac:dyDescent="0.25">
      <c r="A64" s="15" t="s">
        <v>454</v>
      </c>
      <c r="B64" s="360" t="s">
        <v>91</v>
      </c>
      <c r="C64" s="361" t="s">
        <v>459</v>
      </c>
      <c r="D64" s="361" t="s">
        <v>1150</v>
      </c>
      <c r="E64" s="362" t="s">
        <v>1114</v>
      </c>
      <c r="F64" s="361"/>
      <c r="G64" s="237">
        <v>0</v>
      </c>
      <c r="H64" s="237"/>
      <c r="I64" s="237">
        <f t="shared" si="20"/>
        <v>0</v>
      </c>
      <c r="J64" s="238"/>
      <c r="K64" s="238">
        <f t="shared" si="21"/>
        <v>0</v>
      </c>
      <c r="L64" s="238">
        <f t="shared" si="22"/>
        <v>0</v>
      </c>
      <c r="M64" s="238">
        <f t="shared" si="23"/>
        <v>0</v>
      </c>
      <c r="N64" s="325">
        <f t="shared" si="24"/>
        <v>0</v>
      </c>
    </row>
    <row r="65" spans="1:18" s="509" customFormat="1" ht="18.95" customHeight="1" x14ac:dyDescent="0.25">
      <c r="A65" s="191" t="s">
        <v>82</v>
      </c>
      <c r="B65" s="191" t="s">
        <v>85</v>
      </c>
      <c r="C65" s="244" t="s">
        <v>450</v>
      </c>
      <c r="D65" s="244" t="s">
        <v>1150</v>
      </c>
      <c r="E65" s="245" t="s">
        <v>1105</v>
      </c>
      <c r="F65" s="244"/>
      <c r="G65" s="237">
        <v>100000</v>
      </c>
      <c r="H65" s="237">
        <v>122749.8</v>
      </c>
      <c r="I65" s="237">
        <f t="shared" si="20"/>
        <v>-22749.800000000003</v>
      </c>
      <c r="J65" s="238">
        <v>72750</v>
      </c>
      <c r="K65" s="238">
        <f t="shared" si="21"/>
        <v>172750</v>
      </c>
      <c r="L65" s="238">
        <f t="shared" si="22"/>
        <v>181042</v>
      </c>
      <c r="M65" s="238">
        <f t="shared" si="23"/>
        <v>189007.848</v>
      </c>
      <c r="N65" s="325">
        <f t="shared" si="24"/>
        <v>197513.20116</v>
      </c>
      <c r="Q65" s="192"/>
    </row>
    <row r="66" spans="1:18" s="509" customFormat="1" ht="18.95" customHeight="1" x14ac:dyDescent="0.25">
      <c r="A66" s="191" t="s">
        <v>84</v>
      </c>
      <c r="B66" s="191" t="s">
        <v>83</v>
      </c>
      <c r="C66" s="244" t="s">
        <v>450</v>
      </c>
      <c r="D66" s="244" t="s">
        <v>1150</v>
      </c>
      <c r="E66" s="245" t="s">
        <v>1106</v>
      </c>
      <c r="F66" s="244"/>
      <c r="G66" s="237">
        <v>100000</v>
      </c>
      <c r="H66" s="237">
        <v>92095.65</v>
      </c>
      <c r="I66" s="237">
        <f t="shared" si="20"/>
        <v>7904.3500000000058</v>
      </c>
      <c r="J66" s="238">
        <v>50000</v>
      </c>
      <c r="K66" s="238">
        <f t="shared" si="21"/>
        <v>150000</v>
      </c>
      <c r="L66" s="238">
        <f t="shared" si="22"/>
        <v>157200</v>
      </c>
      <c r="M66" s="238">
        <f t="shared" si="23"/>
        <v>164116.80000000002</v>
      </c>
      <c r="N66" s="325">
        <f t="shared" si="24"/>
        <v>171502.05600000001</v>
      </c>
      <c r="Q66" s="192"/>
    </row>
    <row r="67" spans="1:18" s="509" customFormat="1" ht="18.75" customHeight="1" x14ac:dyDescent="0.25">
      <c r="A67" s="191" t="s">
        <v>86</v>
      </c>
      <c r="B67" s="191" t="s">
        <v>87</v>
      </c>
      <c r="C67" s="244" t="s">
        <v>450</v>
      </c>
      <c r="D67" s="244" t="s">
        <v>1150</v>
      </c>
      <c r="E67" s="245" t="s">
        <v>1114</v>
      </c>
      <c r="F67" s="244"/>
      <c r="G67" s="237">
        <v>100000</v>
      </c>
      <c r="H67" s="237">
        <v>216420</v>
      </c>
      <c r="I67" s="237">
        <f t="shared" si="20"/>
        <v>-116420</v>
      </c>
      <c r="J67" s="238">
        <v>216120</v>
      </c>
      <c r="K67" s="238">
        <f t="shared" si="21"/>
        <v>316120</v>
      </c>
      <c r="L67" s="238">
        <f t="shared" si="22"/>
        <v>331293.76</v>
      </c>
      <c r="M67" s="238">
        <f t="shared" si="23"/>
        <v>345870.68544000003</v>
      </c>
      <c r="N67" s="325">
        <f t="shared" si="24"/>
        <v>361434.86628479999</v>
      </c>
      <c r="Q67" s="192"/>
    </row>
    <row r="68" spans="1:18" x14ac:dyDescent="0.25">
      <c r="A68" s="15" t="s">
        <v>454</v>
      </c>
      <c r="B68" s="191" t="s">
        <v>1198</v>
      </c>
      <c r="C68" s="244" t="s">
        <v>313</v>
      </c>
      <c r="D68" s="244" t="s">
        <v>1193</v>
      </c>
      <c r="E68" s="533"/>
      <c r="F68" s="245"/>
      <c r="G68" s="237">
        <v>0</v>
      </c>
      <c r="H68" s="237"/>
      <c r="I68" s="237">
        <f t="shared" ref="I68" si="25">SUM(G68-H68)</f>
        <v>0</v>
      </c>
      <c r="J68" s="238">
        <v>0</v>
      </c>
      <c r="K68" s="238">
        <f t="shared" si="21"/>
        <v>0</v>
      </c>
      <c r="L68" s="238">
        <f>500000-350000</f>
        <v>150000</v>
      </c>
      <c r="M68" s="238">
        <v>150000</v>
      </c>
      <c r="N68" s="325">
        <v>150000</v>
      </c>
    </row>
    <row r="69" spans="1:18" ht="18.95" customHeight="1" x14ac:dyDescent="0.25">
      <c r="A69" s="15" t="s">
        <v>461</v>
      </c>
      <c r="B69" s="191" t="s">
        <v>451</v>
      </c>
      <c r="C69" s="244" t="s">
        <v>450</v>
      </c>
      <c r="D69" s="244" t="s">
        <v>1150</v>
      </c>
      <c r="E69" s="245" t="s">
        <v>1105</v>
      </c>
      <c r="F69" s="244"/>
      <c r="G69" s="237">
        <v>0</v>
      </c>
      <c r="H69" s="237"/>
      <c r="I69" s="237">
        <f t="shared" ref="I69:I90" si="26">SUM(G69-H69)</f>
        <v>0</v>
      </c>
      <c r="J69" s="238">
        <v>0</v>
      </c>
      <c r="K69" s="238">
        <f t="shared" ref="K69:K90" si="27">SUM(G69+J69)</f>
        <v>0</v>
      </c>
      <c r="L69" s="238">
        <v>50000</v>
      </c>
      <c r="M69" s="238">
        <f t="shared" ref="M69:M78" si="28">L69*1.044</f>
        <v>52200</v>
      </c>
      <c r="N69" s="325">
        <f t="shared" ref="N69:N78" si="29">M69*1.045</f>
        <v>54548.999999999993</v>
      </c>
      <c r="R69" s="534"/>
    </row>
    <row r="70" spans="1:18" ht="18.95" customHeight="1" x14ac:dyDescent="0.25">
      <c r="A70" s="15" t="s">
        <v>88</v>
      </c>
      <c r="B70" s="191" t="s">
        <v>453</v>
      </c>
      <c r="C70" s="244" t="s">
        <v>450</v>
      </c>
      <c r="D70" s="244" t="s">
        <v>1150</v>
      </c>
      <c r="E70" s="245" t="s">
        <v>1114</v>
      </c>
      <c r="F70" s="244"/>
      <c r="G70" s="237">
        <v>0</v>
      </c>
      <c r="H70" s="237"/>
      <c r="I70" s="237">
        <f t="shared" si="26"/>
        <v>0</v>
      </c>
      <c r="J70" s="238">
        <v>0</v>
      </c>
      <c r="K70" s="238">
        <f t="shared" si="27"/>
        <v>0</v>
      </c>
      <c r="L70" s="238">
        <v>50000</v>
      </c>
      <c r="M70" s="238">
        <f t="shared" si="28"/>
        <v>52200</v>
      </c>
      <c r="N70" s="325">
        <f t="shared" si="29"/>
        <v>54548.999999999993</v>
      </c>
    </row>
    <row r="71" spans="1:18" ht="18.95" customHeight="1" x14ac:dyDescent="0.25">
      <c r="A71" s="15" t="s">
        <v>90</v>
      </c>
      <c r="B71" s="15" t="s">
        <v>453</v>
      </c>
      <c r="C71" s="314" t="s">
        <v>450</v>
      </c>
      <c r="D71" s="314" t="s">
        <v>1150</v>
      </c>
      <c r="E71" s="317" t="s">
        <v>1114</v>
      </c>
      <c r="F71" s="314"/>
      <c r="G71" s="237">
        <v>0</v>
      </c>
      <c r="H71" s="237"/>
      <c r="I71" s="237">
        <f t="shared" si="26"/>
        <v>0</v>
      </c>
      <c r="J71" s="238"/>
      <c r="K71" s="238">
        <f t="shared" si="27"/>
        <v>0</v>
      </c>
      <c r="L71" s="238">
        <v>50000</v>
      </c>
      <c r="M71" s="238">
        <f t="shared" si="28"/>
        <v>52200</v>
      </c>
      <c r="N71" s="325">
        <f t="shared" si="29"/>
        <v>54548.999999999993</v>
      </c>
    </row>
    <row r="72" spans="1:18" ht="31.5" hidden="1" x14ac:dyDescent="0.25">
      <c r="A72" s="15" t="s">
        <v>503</v>
      </c>
      <c r="B72" s="360" t="s">
        <v>504</v>
      </c>
      <c r="C72" s="361"/>
      <c r="D72" s="361" t="s">
        <v>1150</v>
      </c>
      <c r="E72" s="362" t="s">
        <v>1105</v>
      </c>
      <c r="F72" s="361"/>
      <c r="G72" s="237">
        <v>0</v>
      </c>
      <c r="H72" s="237"/>
      <c r="I72" s="237">
        <f t="shared" si="26"/>
        <v>0</v>
      </c>
      <c r="J72" s="238"/>
      <c r="K72" s="238">
        <f t="shared" si="27"/>
        <v>0</v>
      </c>
      <c r="L72" s="238">
        <f t="shared" ref="L72:L76" si="30">K72*1.048</f>
        <v>0</v>
      </c>
      <c r="M72" s="238">
        <f t="shared" si="28"/>
        <v>0</v>
      </c>
      <c r="N72" s="325">
        <f t="shared" si="29"/>
        <v>0</v>
      </c>
    </row>
    <row r="73" spans="1:18" ht="31.5" hidden="1" x14ac:dyDescent="0.25">
      <c r="A73" s="15" t="s">
        <v>480</v>
      </c>
      <c r="B73" s="360" t="s">
        <v>479</v>
      </c>
      <c r="C73" s="361"/>
      <c r="D73" s="361" t="s">
        <v>1150</v>
      </c>
      <c r="E73" s="362" t="s">
        <v>1114</v>
      </c>
      <c r="F73" s="361"/>
      <c r="G73" s="237">
        <v>0</v>
      </c>
      <c r="H73" s="237"/>
      <c r="I73" s="237">
        <f t="shared" si="26"/>
        <v>0</v>
      </c>
      <c r="J73" s="238"/>
      <c r="K73" s="238">
        <f t="shared" si="27"/>
        <v>0</v>
      </c>
      <c r="L73" s="238">
        <f t="shared" si="30"/>
        <v>0</v>
      </c>
      <c r="M73" s="238">
        <f t="shared" si="28"/>
        <v>0</v>
      </c>
      <c r="N73" s="325">
        <f t="shared" si="29"/>
        <v>0</v>
      </c>
    </row>
    <row r="74" spans="1:18" ht="31.5" hidden="1" x14ac:dyDescent="0.25">
      <c r="A74" s="15" t="s">
        <v>482</v>
      </c>
      <c r="B74" s="360" t="s">
        <v>481</v>
      </c>
      <c r="C74" s="361"/>
      <c r="D74" s="361" t="s">
        <v>1150</v>
      </c>
      <c r="E74" s="362" t="s">
        <v>1124</v>
      </c>
      <c r="F74" s="361"/>
      <c r="G74" s="237">
        <v>0</v>
      </c>
      <c r="H74" s="237"/>
      <c r="I74" s="237">
        <f t="shared" si="26"/>
        <v>0</v>
      </c>
      <c r="J74" s="238"/>
      <c r="K74" s="238">
        <f t="shared" si="27"/>
        <v>0</v>
      </c>
      <c r="L74" s="238">
        <f t="shared" si="30"/>
        <v>0</v>
      </c>
      <c r="M74" s="238">
        <f t="shared" si="28"/>
        <v>0</v>
      </c>
      <c r="N74" s="325">
        <f t="shared" si="29"/>
        <v>0</v>
      </c>
    </row>
    <row r="75" spans="1:18" ht="31.5" hidden="1" x14ac:dyDescent="0.25">
      <c r="A75" s="15" t="s">
        <v>484</v>
      </c>
      <c r="B75" s="15" t="s">
        <v>483</v>
      </c>
      <c r="C75" s="314"/>
      <c r="D75" s="314" t="s">
        <v>1150</v>
      </c>
      <c r="E75" s="317" t="s">
        <v>1124</v>
      </c>
      <c r="F75" s="314"/>
      <c r="G75" s="237">
        <v>0</v>
      </c>
      <c r="H75" s="237"/>
      <c r="I75" s="237">
        <f t="shared" si="26"/>
        <v>0</v>
      </c>
      <c r="J75" s="238"/>
      <c r="K75" s="238">
        <f t="shared" si="27"/>
        <v>0</v>
      </c>
      <c r="L75" s="238">
        <f t="shared" si="30"/>
        <v>0</v>
      </c>
      <c r="M75" s="238">
        <f t="shared" si="28"/>
        <v>0</v>
      </c>
      <c r="N75" s="325">
        <f t="shared" si="29"/>
        <v>0</v>
      </c>
    </row>
    <row r="76" spans="1:18" hidden="1" x14ac:dyDescent="0.25">
      <c r="A76" s="240"/>
      <c r="B76" s="15"/>
      <c r="C76" s="314"/>
      <c r="D76" s="314" t="s">
        <v>1150</v>
      </c>
      <c r="E76" s="317"/>
      <c r="F76" s="314"/>
      <c r="G76" s="237">
        <v>0</v>
      </c>
      <c r="H76" s="237"/>
      <c r="I76" s="237">
        <f t="shared" si="26"/>
        <v>0</v>
      </c>
      <c r="J76" s="238"/>
      <c r="K76" s="238">
        <f t="shared" si="27"/>
        <v>0</v>
      </c>
      <c r="L76" s="238">
        <f t="shared" si="30"/>
        <v>0</v>
      </c>
      <c r="M76" s="238">
        <f t="shared" si="28"/>
        <v>0</v>
      </c>
      <c r="N76" s="325">
        <f t="shared" si="29"/>
        <v>0</v>
      </c>
    </row>
    <row r="77" spans="1:18" ht="18.95" customHeight="1" x14ac:dyDescent="0.25">
      <c r="A77" s="240"/>
      <c r="B77" s="191" t="s">
        <v>1279</v>
      </c>
      <c r="C77" s="535" t="s">
        <v>313</v>
      </c>
      <c r="D77" s="244" t="s">
        <v>1150</v>
      </c>
      <c r="E77" s="245" t="s">
        <v>1105</v>
      </c>
      <c r="F77" s="244"/>
      <c r="G77" s="237"/>
      <c r="H77" s="237">
        <f>26580+342420.34</f>
        <v>369000.34</v>
      </c>
      <c r="I77" s="237">
        <f t="shared" si="26"/>
        <v>-369000.34</v>
      </c>
      <c r="J77" s="238">
        <v>738000</v>
      </c>
      <c r="K77" s="238">
        <f t="shared" si="27"/>
        <v>738000</v>
      </c>
      <c r="L77" s="238">
        <v>500000</v>
      </c>
      <c r="M77" s="238">
        <v>500000</v>
      </c>
      <c r="N77" s="325">
        <v>500000</v>
      </c>
      <c r="P77" s="508"/>
    </row>
    <row r="78" spans="1:18" ht="18.75" customHeight="1" x14ac:dyDescent="0.25">
      <c r="A78" s="240"/>
      <c r="B78" s="191" t="s">
        <v>971</v>
      </c>
      <c r="C78" s="535" t="s">
        <v>313</v>
      </c>
      <c r="D78" s="244" t="s">
        <v>1150</v>
      </c>
      <c r="E78" s="245" t="s">
        <v>1141</v>
      </c>
      <c r="F78" s="244"/>
      <c r="G78" s="237">
        <v>1500000</v>
      </c>
      <c r="H78" s="237">
        <f>658302.92-342420.34-285882.61</f>
        <v>29999.97000000003</v>
      </c>
      <c r="I78" s="237">
        <f t="shared" si="26"/>
        <v>1470000.03</v>
      </c>
      <c r="J78" s="238">
        <v>-1392283</v>
      </c>
      <c r="K78" s="238">
        <f t="shared" si="27"/>
        <v>107717</v>
      </c>
      <c r="L78" s="238">
        <v>0</v>
      </c>
      <c r="M78" s="238">
        <f t="shared" si="28"/>
        <v>0</v>
      </c>
      <c r="N78" s="325">
        <f t="shared" si="29"/>
        <v>0</v>
      </c>
      <c r="P78" s="508"/>
    </row>
    <row r="79" spans="1:18" ht="18.75" customHeight="1" x14ac:dyDescent="0.25">
      <c r="A79" s="240"/>
      <c r="B79" s="191" t="s">
        <v>1023</v>
      </c>
      <c r="C79" s="535" t="s">
        <v>313</v>
      </c>
      <c r="D79" s="244" t="s">
        <v>1150</v>
      </c>
      <c r="E79" s="245" t="s">
        <v>1106</v>
      </c>
      <c r="F79" s="244"/>
      <c r="G79" s="237"/>
      <c r="H79" s="237">
        <v>285882.61</v>
      </c>
      <c r="I79" s="237">
        <f t="shared" si="26"/>
        <v>-285882.61</v>
      </c>
      <c r="J79" s="238">
        <v>435883</v>
      </c>
      <c r="K79" s="238">
        <f t="shared" si="27"/>
        <v>435883</v>
      </c>
      <c r="L79" s="238">
        <f>300000+250000</f>
        <v>550000</v>
      </c>
      <c r="M79" s="238">
        <v>300000</v>
      </c>
      <c r="N79" s="325">
        <v>300000</v>
      </c>
      <c r="P79" s="508"/>
    </row>
    <row r="80" spans="1:18" ht="18.75" customHeight="1" x14ac:dyDescent="0.25">
      <c r="A80" s="240"/>
      <c r="B80" s="191" t="s">
        <v>1013</v>
      </c>
      <c r="C80" s="535" t="s">
        <v>313</v>
      </c>
      <c r="D80" s="244" t="s">
        <v>1150</v>
      </c>
      <c r="E80" s="245" t="s">
        <v>1105</v>
      </c>
      <c r="F80" s="244"/>
      <c r="G80" s="237"/>
      <c r="H80" s="237">
        <v>109200</v>
      </c>
      <c r="I80" s="237">
        <f t="shared" si="26"/>
        <v>-109200</v>
      </c>
      <c r="J80" s="238">
        <v>218400</v>
      </c>
      <c r="K80" s="238">
        <f t="shared" si="27"/>
        <v>218400</v>
      </c>
      <c r="L80" s="238">
        <v>200000</v>
      </c>
      <c r="M80" s="238">
        <v>200000</v>
      </c>
      <c r="N80" s="325">
        <v>200000</v>
      </c>
    </row>
    <row r="81" spans="1:19" ht="18.2" customHeight="1" x14ac:dyDescent="0.25">
      <c r="A81" s="240"/>
      <c r="B81" s="191" t="s">
        <v>401</v>
      </c>
      <c r="C81" s="244" t="s">
        <v>313</v>
      </c>
      <c r="D81" s="244" t="s">
        <v>1150</v>
      </c>
      <c r="E81" s="245" t="s">
        <v>1080</v>
      </c>
      <c r="F81" s="244"/>
      <c r="G81" s="237">
        <v>0</v>
      </c>
      <c r="H81" s="237">
        <f>12710-6410</f>
        <v>6300</v>
      </c>
      <c r="I81" s="237">
        <f t="shared" si="26"/>
        <v>-6300</v>
      </c>
      <c r="J81" s="238">
        <v>12710</v>
      </c>
      <c r="K81" s="238">
        <f t="shared" si="27"/>
        <v>12710</v>
      </c>
      <c r="L81" s="238">
        <v>0</v>
      </c>
      <c r="M81" s="238">
        <v>0</v>
      </c>
      <c r="N81" s="325">
        <v>0</v>
      </c>
    </row>
    <row r="82" spans="1:19" s="509" customFormat="1" ht="18.75" customHeight="1" x14ac:dyDescent="0.25">
      <c r="A82" s="242"/>
      <c r="B82" s="191" t="s">
        <v>21</v>
      </c>
      <c r="C82" s="244" t="s">
        <v>313</v>
      </c>
      <c r="D82" s="244" t="s">
        <v>1150</v>
      </c>
      <c r="E82" s="245" t="s">
        <v>1101</v>
      </c>
      <c r="F82" s="245" t="s">
        <v>1093</v>
      </c>
      <c r="G82" s="237">
        <v>213672</v>
      </c>
      <c r="H82" s="237">
        <v>14923.67</v>
      </c>
      <c r="I82" s="237">
        <f t="shared" si="26"/>
        <v>198748.33</v>
      </c>
      <c r="J82" s="238">
        <v>100000</v>
      </c>
      <c r="K82" s="238">
        <f t="shared" si="27"/>
        <v>313672</v>
      </c>
      <c r="L82" s="238">
        <f>K82*1.048-10500</f>
        <v>318228.25599999999</v>
      </c>
      <c r="M82" s="238">
        <f>L82*1.044</f>
        <v>332230.29926400003</v>
      </c>
      <c r="N82" s="325">
        <f>M82*1.045</f>
        <v>347180.66273088002</v>
      </c>
      <c r="Q82" s="192"/>
    </row>
    <row r="83" spans="1:19" s="509" customFormat="1" ht="18.95" customHeight="1" x14ac:dyDescent="0.25">
      <c r="A83" s="242"/>
      <c r="B83" s="191" t="s">
        <v>339</v>
      </c>
      <c r="C83" s="244" t="s">
        <v>313</v>
      </c>
      <c r="D83" s="244" t="s">
        <v>1150</v>
      </c>
      <c r="E83" s="245" t="s">
        <v>1140</v>
      </c>
      <c r="F83" s="245" t="s">
        <v>1093</v>
      </c>
      <c r="G83" s="237">
        <v>6754</v>
      </c>
      <c r="H83" s="237"/>
      <c r="I83" s="237">
        <f t="shared" si="26"/>
        <v>6754</v>
      </c>
      <c r="J83" s="238">
        <v>0</v>
      </c>
      <c r="K83" s="238">
        <f t="shared" si="27"/>
        <v>6754</v>
      </c>
      <c r="L83" s="238">
        <v>36000</v>
      </c>
      <c r="M83" s="238">
        <f>L83*1.044</f>
        <v>37584</v>
      </c>
      <c r="N83" s="325">
        <f>M83*1.045</f>
        <v>39275.279999999999</v>
      </c>
      <c r="P83" s="192"/>
      <c r="Q83" s="192"/>
    </row>
    <row r="84" spans="1:19" s="509" customFormat="1" ht="19.5" customHeight="1" x14ac:dyDescent="0.25">
      <c r="A84" s="242"/>
      <c r="B84" s="191" t="s">
        <v>381</v>
      </c>
      <c r="C84" s="244" t="s">
        <v>313</v>
      </c>
      <c r="D84" s="244" t="s">
        <v>1150</v>
      </c>
      <c r="E84" s="245" t="s">
        <v>1135</v>
      </c>
      <c r="F84" s="245" t="s">
        <v>1093</v>
      </c>
      <c r="G84" s="237">
        <v>3117</v>
      </c>
      <c r="H84" s="237"/>
      <c r="I84" s="237">
        <f t="shared" si="26"/>
        <v>3117</v>
      </c>
      <c r="J84" s="238">
        <v>0</v>
      </c>
      <c r="K84" s="238">
        <f t="shared" si="27"/>
        <v>3117</v>
      </c>
      <c r="L84" s="238">
        <f>11000</f>
        <v>11000</v>
      </c>
      <c r="M84" s="238">
        <f>L84*1.044</f>
        <v>11484</v>
      </c>
      <c r="N84" s="325">
        <f>M84*1.045</f>
        <v>12000.779999999999</v>
      </c>
      <c r="P84" s="192"/>
      <c r="Q84" s="192"/>
    </row>
    <row r="85" spans="1:19" ht="18.95" customHeight="1" x14ac:dyDescent="0.25">
      <c r="A85" s="240"/>
      <c r="B85" s="191" t="s">
        <v>23</v>
      </c>
      <c r="C85" s="244" t="s">
        <v>313</v>
      </c>
      <c r="D85" s="244" t="s">
        <v>1150</v>
      </c>
      <c r="E85" s="245" t="s">
        <v>1088</v>
      </c>
      <c r="F85" s="245" t="s">
        <v>1093</v>
      </c>
      <c r="G85" s="237">
        <v>7311</v>
      </c>
      <c r="H85" s="237">
        <v>477.19</v>
      </c>
      <c r="I85" s="237">
        <f t="shared" si="26"/>
        <v>6833.81</v>
      </c>
      <c r="J85" s="238">
        <v>0</v>
      </c>
      <c r="K85" s="238">
        <f t="shared" si="27"/>
        <v>7311</v>
      </c>
      <c r="L85" s="238">
        <v>11000</v>
      </c>
      <c r="M85" s="238">
        <f>L85*1.044</f>
        <v>11484</v>
      </c>
      <c r="N85" s="325">
        <f>M85*1.045</f>
        <v>12000.779999999999</v>
      </c>
      <c r="P85" s="508"/>
    </row>
    <row r="86" spans="1:19" ht="47.25" hidden="1" x14ac:dyDescent="0.25">
      <c r="A86" s="240"/>
      <c r="B86" s="191" t="s">
        <v>50</v>
      </c>
      <c r="C86" s="244" t="s">
        <v>313</v>
      </c>
      <c r="D86" s="244" t="s">
        <v>1150</v>
      </c>
      <c r="E86" s="245" t="s">
        <v>1134</v>
      </c>
      <c r="F86" s="245" t="s">
        <v>1093</v>
      </c>
      <c r="G86" s="237">
        <v>0</v>
      </c>
      <c r="H86" s="237"/>
      <c r="I86" s="237">
        <f t="shared" si="26"/>
        <v>0</v>
      </c>
      <c r="J86" s="238">
        <v>0</v>
      </c>
      <c r="K86" s="238">
        <f t="shared" si="27"/>
        <v>0</v>
      </c>
      <c r="L86" s="238">
        <v>0</v>
      </c>
      <c r="M86" s="238">
        <v>0</v>
      </c>
      <c r="N86" s="325">
        <v>0</v>
      </c>
    </row>
    <row r="87" spans="1:19" ht="18.95" customHeight="1" x14ac:dyDescent="0.25">
      <c r="A87" s="240"/>
      <c r="B87" s="191" t="s">
        <v>925</v>
      </c>
      <c r="C87" s="244" t="s">
        <v>313</v>
      </c>
      <c r="D87" s="244" t="s">
        <v>1150</v>
      </c>
      <c r="E87" s="245" t="s">
        <v>1111</v>
      </c>
      <c r="F87" s="245" t="s">
        <v>1093</v>
      </c>
      <c r="G87" s="237">
        <v>0</v>
      </c>
      <c r="H87" s="237">
        <v>6634.81</v>
      </c>
      <c r="I87" s="237">
        <f t="shared" si="26"/>
        <v>-6634.81</v>
      </c>
      <c r="J87" s="238">
        <v>15000</v>
      </c>
      <c r="K87" s="238">
        <f t="shared" si="27"/>
        <v>15000</v>
      </c>
      <c r="L87" s="238">
        <f>K87*1.048</f>
        <v>15720</v>
      </c>
      <c r="M87" s="238">
        <f t="shared" ref="M87:M92" si="31">L87*1.044</f>
        <v>16411.68</v>
      </c>
      <c r="N87" s="325">
        <f t="shared" ref="N87:N92" si="32">M87*1.045</f>
        <v>17150.205599999998</v>
      </c>
    </row>
    <row r="88" spans="1:19" ht="18.95" customHeight="1" x14ac:dyDescent="0.25">
      <c r="A88" s="240"/>
      <c r="B88" s="191" t="s">
        <v>62</v>
      </c>
      <c r="C88" s="244" t="s">
        <v>313</v>
      </c>
      <c r="D88" s="244" t="s">
        <v>1150</v>
      </c>
      <c r="E88" s="245" t="s">
        <v>1104</v>
      </c>
      <c r="F88" s="245" t="s">
        <v>1093</v>
      </c>
      <c r="G88" s="237">
        <v>14412</v>
      </c>
      <c r="H88" s="237">
        <v>4389.25</v>
      </c>
      <c r="I88" s="237">
        <f t="shared" si="26"/>
        <v>10022.75</v>
      </c>
      <c r="J88" s="238">
        <v>-5000</v>
      </c>
      <c r="K88" s="238">
        <f t="shared" si="27"/>
        <v>9412</v>
      </c>
      <c r="L88" s="238">
        <v>18000</v>
      </c>
      <c r="M88" s="238">
        <f t="shared" si="31"/>
        <v>18792</v>
      </c>
      <c r="N88" s="325">
        <f t="shared" si="32"/>
        <v>19637.64</v>
      </c>
    </row>
    <row r="89" spans="1:19" ht="19.5" customHeight="1" x14ac:dyDescent="0.25">
      <c r="A89" s="240"/>
      <c r="B89" s="15" t="s">
        <v>7</v>
      </c>
      <c r="C89" s="314" t="s">
        <v>313</v>
      </c>
      <c r="D89" s="314" t="s">
        <v>1150</v>
      </c>
      <c r="E89" s="317" t="s">
        <v>1138</v>
      </c>
      <c r="F89" s="245" t="s">
        <v>1093</v>
      </c>
      <c r="G89" s="237">
        <v>5709</v>
      </c>
      <c r="H89" s="237">
        <v>229.08</v>
      </c>
      <c r="I89" s="237">
        <f t="shared" si="26"/>
        <v>5479.92</v>
      </c>
      <c r="J89" s="238">
        <v>0</v>
      </c>
      <c r="K89" s="238">
        <f t="shared" si="27"/>
        <v>5709</v>
      </c>
      <c r="L89" s="238">
        <v>9870</v>
      </c>
      <c r="M89" s="238">
        <f t="shared" si="31"/>
        <v>10304.280000000001</v>
      </c>
      <c r="N89" s="325">
        <f t="shared" si="32"/>
        <v>10767.972599999999</v>
      </c>
    </row>
    <row r="90" spans="1:19" ht="18.95" customHeight="1" x14ac:dyDescent="0.25">
      <c r="A90" s="240"/>
      <c r="B90" s="191" t="s">
        <v>953</v>
      </c>
      <c r="C90" s="244" t="s">
        <v>478</v>
      </c>
      <c r="D90" s="244" t="s">
        <v>1150</v>
      </c>
      <c r="E90" s="245" t="s">
        <v>1114</v>
      </c>
      <c r="F90" s="244"/>
      <c r="G90" s="237">
        <v>58757</v>
      </c>
      <c r="H90" s="237">
        <v>0</v>
      </c>
      <c r="I90" s="237">
        <f t="shared" si="26"/>
        <v>58757</v>
      </c>
      <c r="J90" s="237">
        <v>0</v>
      </c>
      <c r="K90" s="238">
        <f t="shared" si="27"/>
        <v>58757</v>
      </c>
      <c r="L90" s="238">
        <f>K90*1.048</f>
        <v>61577.336000000003</v>
      </c>
      <c r="M90" s="238">
        <f t="shared" si="31"/>
        <v>64286.738784000008</v>
      </c>
      <c r="N90" s="325">
        <f t="shared" si="32"/>
        <v>67179.642029280003</v>
      </c>
      <c r="P90" s="536"/>
      <c r="S90" s="537"/>
    </row>
    <row r="91" spans="1:19" ht="18.2" customHeight="1" x14ac:dyDescent="0.25">
      <c r="A91" s="240"/>
      <c r="B91" s="191" t="s">
        <v>952</v>
      </c>
      <c r="C91" s="244" t="s">
        <v>478</v>
      </c>
      <c r="D91" s="244" t="s">
        <v>1150</v>
      </c>
      <c r="E91" s="245" t="s">
        <v>1124</v>
      </c>
      <c r="F91" s="244"/>
      <c r="G91" s="237">
        <v>67433</v>
      </c>
      <c r="H91" s="239">
        <v>0</v>
      </c>
      <c r="I91" s="239">
        <f>SUM(G91-H91)</f>
        <v>67433</v>
      </c>
      <c r="J91" s="237">
        <v>0</v>
      </c>
      <c r="K91" s="238">
        <f>SUM(G91+J91)</f>
        <v>67433</v>
      </c>
      <c r="L91" s="238">
        <f>K91*1.048</f>
        <v>70669.784</v>
      </c>
      <c r="M91" s="238">
        <f t="shared" si="31"/>
        <v>73779.254496000009</v>
      </c>
      <c r="N91" s="239">
        <f t="shared" si="32"/>
        <v>77099.320948320004</v>
      </c>
      <c r="S91" s="537"/>
    </row>
    <row r="92" spans="1:19" ht="19.5" customHeight="1" x14ac:dyDescent="0.25">
      <c r="A92" s="240"/>
      <c r="B92" s="191" t="s">
        <v>951</v>
      </c>
      <c r="C92" s="244" t="s">
        <v>478</v>
      </c>
      <c r="D92" s="364" t="s">
        <v>1150</v>
      </c>
      <c r="E92" s="365" t="s">
        <v>1124</v>
      </c>
      <c r="F92" s="364"/>
      <c r="G92" s="538">
        <v>129164</v>
      </c>
      <c r="H92" s="358">
        <v>22400</v>
      </c>
      <c r="I92" s="358">
        <f>SUM(G92-H92)</f>
        <v>106764</v>
      </c>
      <c r="J92" s="538">
        <v>0</v>
      </c>
      <c r="K92" s="348">
        <f>SUM(G92+J92)</f>
        <v>129164</v>
      </c>
      <c r="L92" s="238">
        <f>K92*1.048</f>
        <v>135363.872</v>
      </c>
      <c r="M92" s="538">
        <f t="shared" si="31"/>
        <v>141319.88236800002</v>
      </c>
      <c r="N92" s="538">
        <f t="shared" si="32"/>
        <v>147679.27707456</v>
      </c>
      <c r="S92" s="537"/>
    </row>
    <row r="93" spans="1:19" x14ac:dyDescent="0.25">
      <c r="A93" s="15"/>
      <c r="B93" s="306" t="s">
        <v>585</v>
      </c>
      <c r="C93" s="411"/>
      <c r="D93" s="389"/>
      <c r="E93" s="390"/>
      <c r="F93" s="389"/>
      <c r="G93" s="347">
        <f t="shared" ref="G93:N93" si="33">SUM(G41:G92)</f>
        <v>4916645.7264</v>
      </c>
      <c r="H93" s="347">
        <f t="shared" si="33"/>
        <v>2437687.98</v>
      </c>
      <c r="I93" s="347">
        <f t="shared" si="33"/>
        <v>2478957.7464000001</v>
      </c>
      <c r="J93" s="347">
        <f t="shared" si="33"/>
        <v>928180</v>
      </c>
      <c r="K93" s="347">
        <f t="shared" si="33"/>
        <v>5844825.7264</v>
      </c>
      <c r="L93" s="414">
        <f t="shared" si="33"/>
        <v>5386384.2180000003</v>
      </c>
      <c r="M93" s="348">
        <f t="shared" si="33"/>
        <v>5088801.6200320004</v>
      </c>
      <c r="N93" s="348">
        <f t="shared" si="33"/>
        <v>5260026.7712217607</v>
      </c>
    </row>
    <row r="94" spans="1:19" x14ac:dyDescent="0.25">
      <c r="A94" s="131"/>
      <c r="B94" s="240"/>
      <c r="C94" s="393"/>
      <c r="D94" s="393"/>
      <c r="E94" s="394"/>
      <c r="F94" s="393"/>
      <c r="G94" s="489"/>
      <c r="L94" s="237"/>
      <c r="M94" s="336"/>
      <c r="N94" s="336"/>
    </row>
    <row r="95" spans="1:19" hidden="1" x14ac:dyDescent="0.25">
      <c r="A95" s="131"/>
      <c r="B95" s="240"/>
      <c r="C95" s="393"/>
      <c r="D95" s="393"/>
      <c r="E95" s="394"/>
      <c r="F95" s="393"/>
      <c r="G95" s="489"/>
      <c r="L95" s="539"/>
      <c r="M95" s="540"/>
      <c r="N95" s="540"/>
    </row>
    <row r="96" spans="1:19" hidden="1" x14ac:dyDescent="0.25">
      <c r="A96" s="131"/>
      <c r="B96" s="393" t="s">
        <v>1280</v>
      </c>
      <c r="C96" s="393"/>
      <c r="D96" s="393"/>
      <c r="E96" s="394"/>
      <c r="F96" s="393"/>
      <c r="G96" s="489"/>
      <c r="L96" s="539"/>
      <c r="M96" s="540"/>
      <c r="N96" s="540"/>
    </row>
    <row r="97" spans="1:18" hidden="1" x14ac:dyDescent="0.25">
      <c r="A97" s="131"/>
      <c r="B97" s="240" t="s">
        <v>1201</v>
      </c>
      <c r="C97" s="437"/>
      <c r="D97" s="371"/>
      <c r="E97" s="501" t="s">
        <v>1202</v>
      </c>
      <c r="F97" s="437"/>
      <c r="G97" s="435"/>
      <c r="H97" s="340"/>
      <c r="I97" s="340"/>
      <c r="J97" s="341"/>
      <c r="K97" s="340"/>
      <c r="L97" s="541">
        <v>0</v>
      </c>
      <c r="M97" s="542">
        <v>0</v>
      </c>
      <c r="N97" s="543">
        <v>0</v>
      </c>
    </row>
    <row r="98" spans="1:18" hidden="1" x14ac:dyDescent="0.25">
      <c r="A98" s="131"/>
      <c r="B98" s="240" t="s">
        <v>1020</v>
      </c>
      <c r="C98" s="307"/>
      <c r="D98" s="374"/>
      <c r="E98" s="379" t="s">
        <v>1203</v>
      </c>
      <c r="F98" s="307"/>
      <c r="G98" s="489"/>
      <c r="H98" s="312"/>
      <c r="I98" s="312"/>
      <c r="J98" s="313"/>
      <c r="K98" s="312"/>
      <c r="L98" s="539">
        <v>0</v>
      </c>
      <c r="M98" s="409">
        <v>0</v>
      </c>
      <c r="N98" s="408">
        <v>0</v>
      </c>
    </row>
    <row r="99" spans="1:18" hidden="1" x14ac:dyDescent="0.25">
      <c r="A99" s="131"/>
      <c r="B99" s="240" t="s">
        <v>1206</v>
      </c>
      <c r="C99" s="433"/>
      <c r="D99" s="386"/>
      <c r="E99" s="390" t="s">
        <v>1207</v>
      </c>
      <c r="F99" s="433"/>
      <c r="G99" s="544"/>
      <c r="H99" s="346"/>
      <c r="I99" s="346"/>
      <c r="J99" s="347"/>
      <c r="K99" s="346"/>
      <c r="L99" s="545">
        <v>0</v>
      </c>
      <c r="M99" s="546">
        <v>0</v>
      </c>
      <c r="N99" s="547"/>
    </row>
    <row r="100" spans="1:18" hidden="1" x14ac:dyDescent="0.25">
      <c r="A100" s="131"/>
      <c r="B100" s="240"/>
      <c r="C100" s="412"/>
      <c r="D100" s="412"/>
      <c r="E100" s="518"/>
      <c r="F100" s="411"/>
      <c r="G100" s="417"/>
      <c r="H100" s="417"/>
      <c r="I100" s="417"/>
      <c r="J100" s="417"/>
      <c r="K100" s="528"/>
      <c r="L100" s="548">
        <f>SUM(L97:L99)</f>
        <v>0</v>
      </c>
      <c r="M100" s="548">
        <f t="shared" ref="M100:N100" si="34">SUM(M97:M99)</f>
        <v>0</v>
      </c>
      <c r="N100" s="548">
        <f t="shared" si="34"/>
        <v>0</v>
      </c>
      <c r="O100" s="548">
        <f t="shared" ref="O100:R100" si="35">SUM(O97:O98)</f>
        <v>0</v>
      </c>
      <c r="P100" s="548">
        <f t="shared" si="35"/>
        <v>0</v>
      </c>
      <c r="Q100" s="548">
        <f t="shared" si="35"/>
        <v>0</v>
      </c>
      <c r="R100" s="548">
        <f t="shared" si="35"/>
        <v>0</v>
      </c>
    </row>
    <row r="101" spans="1:18" hidden="1" x14ac:dyDescent="0.25">
      <c r="A101" s="131"/>
      <c r="B101" s="240"/>
      <c r="C101" s="393"/>
      <c r="D101" s="393"/>
      <c r="E101" s="394"/>
      <c r="F101" s="393"/>
      <c r="G101" s="489"/>
      <c r="L101" s="540"/>
      <c r="M101" s="540"/>
      <c r="N101" s="540"/>
    </row>
    <row r="102" spans="1:18" hidden="1" x14ac:dyDescent="0.25">
      <c r="A102" s="131"/>
      <c r="B102" s="240"/>
      <c r="C102" s="393"/>
      <c r="D102" s="393"/>
      <c r="E102" s="394"/>
      <c r="F102" s="393"/>
      <c r="G102" s="489"/>
      <c r="L102" s="540"/>
      <c r="M102" s="540"/>
      <c r="N102" s="540"/>
    </row>
    <row r="103" spans="1:18" ht="16.5" thickBot="1" x14ac:dyDescent="0.3">
      <c r="A103" s="446"/>
      <c r="B103" s="306" t="s">
        <v>586</v>
      </c>
      <c r="C103" s="549"/>
      <c r="D103" s="549"/>
      <c r="E103" s="550"/>
      <c r="F103" s="549"/>
      <c r="G103" s="551">
        <f>G30+G93+G38</f>
        <v>15101734.146399999</v>
      </c>
      <c r="H103" s="552">
        <f>H30+H93+H38</f>
        <v>6390270.8499999996</v>
      </c>
      <c r="I103" s="552">
        <f>I30+I93+I38</f>
        <v>8711463.2963999994</v>
      </c>
      <c r="J103" s="552">
        <f>J30+J93+J38</f>
        <v>-814285.91775999963</v>
      </c>
      <c r="K103" s="552">
        <f>K30+K93+K38</f>
        <v>14287448.228639999</v>
      </c>
      <c r="L103" s="552">
        <f t="shared" ref="L103:R103" si="36">L30+L93+L38+L100</f>
        <v>13670427.483440001</v>
      </c>
      <c r="M103" s="552">
        <f t="shared" si="36"/>
        <v>13338664.27315136</v>
      </c>
      <c r="N103" s="552">
        <f t="shared" si="36"/>
        <v>13823041.072563494</v>
      </c>
      <c r="O103" s="552">
        <f t="shared" si="36"/>
        <v>0</v>
      </c>
      <c r="P103" s="552">
        <f t="shared" si="36"/>
        <v>0</v>
      </c>
      <c r="Q103" s="552">
        <f t="shared" si="36"/>
        <v>0</v>
      </c>
      <c r="R103" s="552">
        <f t="shared" si="36"/>
        <v>0</v>
      </c>
    </row>
    <row r="104" spans="1:18" x14ac:dyDescent="0.25">
      <c r="N104" s="241"/>
    </row>
    <row r="105" spans="1:18" x14ac:dyDescent="0.25">
      <c r="N105" s="241"/>
    </row>
    <row r="106" spans="1:18" x14ac:dyDescent="0.25">
      <c r="N106" s="241"/>
    </row>
    <row r="107" spans="1:18" x14ac:dyDescent="0.25">
      <c r="N107" s="241"/>
    </row>
    <row r="108" spans="1:18" x14ac:dyDescent="0.25">
      <c r="N108" s="241"/>
    </row>
    <row r="109" spans="1:18" x14ac:dyDescent="0.25">
      <c r="N109" s="241"/>
    </row>
    <row r="110" spans="1:18" x14ac:dyDescent="0.25">
      <c r="N110" s="241"/>
    </row>
    <row r="111" spans="1:18" x14ac:dyDescent="0.25">
      <c r="N111" s="241"/>
    </row>
    <row r="112" spans="1:18" x14ac:dyDescent="0.25">
      <c r="N112" s="241"/>
    </row>
    <row r="113" spans="14:14" x14ac:dyDescent="0.25">
      <c r="N113" s="241"/>
    </row>
    <row r="114" spans="14:14" x14ac:dyDescent="0.25">
      <c r="N114" s="241"/>
    </row>
    <row r="115" spans="14:14" x14ac:dyDescent="0.25">
      <c r="N115" s="241"/>
    </row>
    <row r="116" spans="14:14" x14ac:dyDescent="0.25">
      <c r="N116" s="241"/>
    </row>
    <row r="117" spans="14:14" x14ac:dyDescent="0.25">
      <c r="N117" s="241"/>
    </row>
  </sheetData>
  <sortState xmlns:xlrd2="http://schemas.microsoft.com/office/spreadsheetml/2017/richdata2" ref="B43:N92">
    <sortCondition ref="B41:B92"/>
  </sortState>
  <mergeCells count="1">
    <mergeCell ref="B1:N4"/>
  </mergeCells>
  <phoneticPr fontId="48" type="noConversion"/>
  <pageMargins left="0.7" right="0.7" top="0.75" bottom="0.75" header="0.3" footer="0.3"/>
  <pageSetup paperSize="9" scale="4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B73E-F441-4861-91FD-74C8965E4AA9}">
  <sheetPr>
    <tabColor rgb="FF7030A0"/>
    <pageSetUpPr fitToPage="1"/>
  </sheetPr>
  <dimension ref="A1:GH100"/>
  <sheetViews>
    <sheetView topLeftCell="B1" zoomScale="80" zoomScaleNormal="80" zoomScaleSheetLayoutView="70" workbookViewId="0">
      <pane xSplit="1" ySplit="3" topLeftCell="G4" activePane="bottomRight" state="frozen"/>
      <selection activeCell="B1" sqref="B1"/>
      <selection pane="topRight" activeCell="C1" sqref="C1"/>
      <selection pane="bottomLeft" activeCell="B4" sqref="B4"/>
      <selection pane="bottomRight" activeCell="B11" sqref="B11"/>
    </sheetView>
  </sheetViews>
  <sheetFormatPr defaultColWidth="9.140625" defaultRowHeight="15.75" x14ac:dyDescent="0.25"/>
  <cols>
    <col min="1" max="1" width="54.140625" style="282" hidden="1" customWidth="1"/>
    <col min="2" max="2" width="49" style="240" customWidth="1"/>
    <col min="3" max="3" width="28.85546875" style="393" hidden="1" customWidth="1"/>
    <col min="4" max="4" width="14.42578125" style="393" hidden="1" customWidth="1"/>
    <col min="5" max="5" width="28.85546875" style="393" hidden="1" customWidth="1"/>
    <col min="6" max="6" width="25.140625" style="393" hidden="1" customWidth="1"/>
    <col min="7" max="7" width="17.5703125" style="241" customWidth="1"/>
    <col min="8" max="9" width="17.5703125" style="241" hidden="1" customWidth="1"/>
    <col min="10" max="14" width="17.5703125" style="241" customWidth="1"/>
    <col min="15" max="15" width="9.140625" style="282" hidden="1" customWidth="1"/>
    <col min="16" max="16" width="12" style="282" hidden="1" customWidth="1"/>
    <col min="17" max="18" width="15.28515625" style="282" hidden="1" customWidth="1"/>
    <col min="19" max="20" width="9.140625" style="282" hidden="1" customWidth="1"/>
    <col min="21" max="21" width="0" style="282" hidden="1" customWidth="1"/>
    <col min="22" max="23" width="9.140625" style="281"/>
    <col min="24" max="24" width="14.28515625" style="281" customWidth="1"/>
    <col min="25" max="190" width="9.140625" style="281"/>
    <col min="191" max="16384" width="9.140625" style="282"/>
  </cols>
  <sheetData>
    <row r="1" spans="1:20" ht="42.75" customHeight="1" x14ac:dyDescent="0.25">
      <c r="A1" s="507" t="s">
        <v>310</v>
      </c>
      <c r="B1" s="927" t="s">
        <v>1008</v>
      </c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927"/>
    </row>
    <row r="2" spans="1:20" ht="19.5" customHeight="1" x14ac:dyDescent="0.25">
      <c r="A2" s="507"/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</row>
    <row r="3" spans="1:20" ht="18.399999999999999" customHeight="1" thickBot="1" x14ac:dyDescent="0.3">
      <c r="A3" s="128" t="s">
        <v>0</v>
      </c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</row>
    <row r="4" spans="1:20" ht="66.75" customHeight="1" thickBot="1" x14ac:dyDescent="0.3">
      <c r="A4" s="130" t="s">
        <v>2</v>
      </c>
      <c r="B4" s="300"/>
      <c r="C4" s="555" t="s">
        <v>1030</v>
      </c>
      <c r="D4" s="556" t="s">
        <v>1031</v>
      </c>
      <c r="E4" s="556" t="s">
        <v>306</v>
      </c>
      <c r="F4" s="456" t="s">
        <v>1032</v>
      </c>
      <c r="G4" s="557" t="s">
        <v>1028</v>
      </c>
      <c r="H4" s="557" t="s">
        <v>983</v>
      </c>
      <c r="I4" s="557" t="s">
        <v>1027</v>
      </c>
      <c r="J4" s="557" t="s">
        <v>631</v>
      </c>
      <c r="K4" s="557" t="s">
        <v>1274</v>
      </c>
      <c r="L4" s="304" t="s">
        <v>932</v>
      </c>
      <c r="M4" s="304" t="s">
        <v>996</v>
      </c>
      <c r="N4" s="215" t="s">
        <v>1296</v>
      </c>
    </row>
    <row r="5" spans="1:20" x14ac:dyDescent="0.25">
      <c r="A5" s="131" t="s">
        <v>3</v>
      </c>
      <c r="B5" s="393" t="s">
        <v>548</v>
      </c>
      <c r="C5" s="437"/>
      <c r="D5" s="437"/>
      <c r="E5" s="437"/>
      <c r="F5" s="437"/>
      <c r="G5" s="341"/>
      <c r="H5" s="339"/>
      <c r="I5" s="339"/>
      <c r="J5" s="339"/>
      <c r="K5" s="339"/>
      <c r="L5" s="239"/>
      <c r="M5" s="237"/>
      <c r="N5" s="238"/>
      <c r="T5" s="282" t="s">
        <v>1022</v>
      </c>
    </row>
    <row r="6" spans="1:20" x14ac:dyDescent="0.25">
      <c r="A6" s="131"/>
      <c r="B6" s="393" t="s">
        <v>549</v>
      </c>
      <c r="C6" s="307"/>
      <c r="D6" s="307"/>
      <c r="E6" s="307"/>
      <c r="F6" s="307"/>
      <c r="G6" s="313"/>
      <c r="H6" s="311"/>
      <c r="I6" s="311"/>
      <c r="J6" s="311"/>
      <c r="K6" s="311"/>
      <c r="L6" s="239"/>
      <c r="M6" s="237"/>
      <c r="N6" s="238"/>
    </row>
    <row r="7" spans="1:20" x14ac:dyDescent="0.25">
      <c r="A7" s="15" t="s">
        <v>106</v>
      </c>
      <c r="B7" s="15" t="s">
        <v>11</v>
      </c>
      <c r="C7" s="314"/>
      <c r="D7" s="314"/>
      <c r="E7" s="314"/>
      <c r="F7" s="314"/>
      <c r="G7" s="313">
        <f>6571491+1198447</f>
        <v>7769938</v>
      </c>
      <c r="H7" s="311">
        <v>3503209.49</v>
      </c>
      <c r="I7" s="311">
        <f>SUM(G7-H7)</f>
        <v>4266728.51</v>
      </c>
      <c r="J7" s="311">
        <f>1056364.07624+144942</f>
        <v>1201306.0762400001</v>
      </c>
      <c r="K7" s="311">
        <f>SUM(G7+J7)</f>
        <v>8971244.0762399994</v>
      </c>
      <c r="L7" s="239">
        <v>11410770</v>
      </c>
      <c r="M7" s="237">
        <v>9599013</v>
      </c>
      <c r="N7" s="238">
        <v>10030969</v>
      </c>
      <c r="O7" s="282">
        <v>7627854.8234399986</v>
      </c>
      <c r="P7" s="282">
        <v>1198447.2527999999</v>
      </c>
      <c r="Q7" s="188">
        <f>SUM(O7+P7)</f>
        <v>8826302.0762399994</v>
      </c>
      <c r="R7" s="471">
        <f>Q7-G7</f>
        <v>1056364.0762399994</v>
      </c>
      <c r="T7" s="558"/>
    </row>
    <row r="8" spans="1:20" x14ac:dyDescent="0.25">
      <c r="A8" s="15" t="s">
        <v>403</v>
      </c>
      <c r="B8" s="15" t="s">
        <v>314</v>
      </c>
      <c r="C8" s="314"/>
      <c r="D8" s="314"/>
      <c r="E8" s="314"/>
      <c r="F8" s="314"/>
      <c r="G8" s="313">
        <v>201726</v>
      </c>
      <c r="H8" s="311"/>
      <c r="I8" s="311">
        <f t="shared" ref="I8:I16" si="0">SUM(G8-H8)</f>
        <v>201726</v>
      </c>
      <c r="J8" s="311">
        <v>0</v>
      </c>
      <c r="K8" s="311">
        <f t="shared" ref="K8:K16" si="1">SUM(G8+J8)</f>
        <v>201726</v>
      </c>
      <c r="L8" s="239">
        <v>198329</v>
      </c>
      <c r="M8" s="237">
        <v>205327</v>
      </c>
      <c r="N8" s="238">
        <v>212798</v>
      </c>
      <c r="P8" s="282">
        <v>198329.17440000002</v>
      </c>
      <c r="Q8" s="188">
        <f t="shared" ref="Q8:Q26" si="2">SUM(O8+P8)</f>
        <v>198329.17440000002</v>
      </c>
      <c r="R8" s="471">
        <f t="shared" ref="R8:R26" si="3">Q8-G8</f>
        <v>-3396.8255999999819</v>
      </c>
    </row>
    <row r="9" spans="1:20" x14ac:dyDescent="0.25">
      <c r="A9" s="240" t="s">
        <v>507</v>
      </c>
      <c r="B9" s="360" t="s">
        <v>448</v>
      </c>
      <c r="C9" s="361"/>
      <c r="D9" s="361"/>
      <c r="E9" s="361"/>
      <c r="F9" s="361"/>
      <c r="G9" s="313">
        <v>20000</v>
      </c>
      <c r="H9" s="311">
        <v>4322.83</v>
      </c>
      <c r="I9" s="311">
        <f t="shared" si="0"/>
        <v>15677.17</v>
      </c>
      <c r="J9" s="311">
        <v>0</v>
      </c>
      <c r="K9" s="311">
        <f t="shared" si="1"/>
        <v>20000</v>
      </c>
      <c r="L9" s="239">
        <v>20000</v>
      </c>
      <c r="M9" s="237">
        <f>L9*1.044</f>
        <v>20880</v>
      </c>
      <c r="N9" s="238">
        <f>M9*1.045</f>
        <v>21819.599999999999</v>
      </c>
      <c r="O9" s="282">
        <v>20000</v>
      </c>
      <c r="Q9" s="188">
        <f t="shared" si="2"/>
        <v>20000</v>
      </c>
      <c r="R9" s="471">
        <f t="shared" si="3"/>
        <v>0</v>
      </c>
    </row>
    <row r="10" spans="1:20" x14ac:dyDescent="0.25">
      <c r="A10" s="15" t="s">
        <v>116</v>
      </c>
      <c r="B10" s="15" t="s">
        <v>25</v>
      </c>
      <c r="C10" s="314"/>
      <c r="D10" s="314"/>
      <c r="E10" s="314"/>
      <c r="F10" s="314"/>
      <c r="G10" s="313">
        <f>45600+18000</f>
        <v>63600</v>
      </c>
      <c r="H10" s="311">
        <v>50000</v>
      </c>
      <c r="I10" s="311">
        <f t="shared" si="0"/>
        <v>13600</v>
      </c>
      <c r="J10" s="311">
        <f>80400+5000</f>
        <v>85400</v>
      </c>
      <c r="K10" s="311">
        <f t="shared" si="1"/>
        <v>149000</v>
      </c>
      <c r="L10" s="238">
        <v>174000</v>
      </c>
      <c r="M10" s="239">
        <v>144000</v>
      </c>
      <c r="N10" s="238">
        <v>144000</v>
      </c>
      <c r="O10" s="282">
        <v>114000</v>
      </c>
      <c r="P10" s="559">
        <v>30000</v>
      </c>
      <c r="Q10" s="188">
        <f t="shared" si="2"/>
        <v>144000</v>
      </c>
      <c r="R10" s="471">
        <f t="shared" si="3"/>
        <v>80400</v>
      </c>
    </row>
    <row r="11" spans="1:20" x14ac:dyDescent="0.25">
      <c r="A11" s="15" t="s">
        <v>117</v>
      </c>
      <c r="B11" s="15" t="s">
        <v>27</v>
      </c>
      <c r="C11" s="314"/>
      <c r="D11" s="314"/>
      <c r="E11" s="314"/>
      <c r="F11" s="314"/>
      <c r="G11" s="313">
        <f>842868+250668</f>
        <v>1093536</v>
      </c>
      <c r="H11" s="311">
        <v>428459.74</v>
      </c>
      <c r="I11" s="311">
        <f t="shared" si="0"/>
        <v>665076.26</v>
      </c>
      <c r="J11" s="311">
        <v>205812</v>
      </c>
      <c r="K11" s="311">
        <f t="shared" si="1"/>
        <v>1299348</v>
      </c>
      <c r="L11" s="238">
        <v>1901158</v>
      </c>
      <c r="M11" s="325">
        <v>1594283</v>
      </c>
      <c r="N11" s="325">
        <v>1594283</v>
      </c>
      <c r="O11" s="282">
        <v>1048680</v>
      </c>
      <c r="P11" s="559">
        <v>250668</v>
      </c>
      <c r="Q11" s="188">
        <f t="shared" si="2"/>
        <v>1299348</v>
      </c>
      <c r="R11" s="471">
        <f t="shared" si="3"/>
        <v>205812</v>
      </c>
    </row>
    <row r="12" spans="1:20" x14ac:dyDescent="0.25">
      <c r="A12" s="15" t="s">
        <v>119</v>
      </c>
      <c r="B12" s="15" t="s">
        <v>76</v>
      </c>
      <c r="C12" s="314"/>
      <c r="D12" s="314"/>
      <c r="E12" s="314"/>
      <c r="F12" s="314"/>
      <c r="G12" s="313">
        <v>11574</v>
      </c>
      <c r="H12" s="311">
        <v>5787.06</v>
      </c>
      <c r="I12" s="311">
        <f t="shared" si="0"/>
        <v>5786.94</v>
      </c>
      <c r="J12" s="311">
        <v>0.11999999999898137</v>
      </c>
      <c r="K12" s="311">
        <f t="shared" si="1"/>
        <v>11574.119999999999</v>
      </c>
      <c r="L12" s="238">
        <v>11574</v>
      </c>
      <c r="M12" s="325">
        <v>11574</v>
      </c>
      <c r="N12" s="325">
        <v>11574</v>
      </c>
      <c r="O12" s="282">
        <v>11574.119999999999</v>
      </c>
      <c r="Q12" s="188">
        <f t="shared" si="2"/>
        <v>11574.119999999999</v>
      </c>
      <c r="R12" s="471">
        <f t="shared" si="3"/>
        <v>0.11999999999898137</v>
      </c>
    </row>
    <row r="13" spans="1:20" x14ac:dyDescent="0.25">
      <c r="A13" s="191" t="s">
        <v>120</v>
      </c>
      <c r="B13" s="191" t="s">
        <v>29</v>
      </c>
      <c r="C13" s="244"/>
      <c r="D13" s="244"/>
      <c r="E13" s="244"/>
      <c r="F13" s="244"/>
      <c r="G13" s="238">
        <v>0</v>
      </c>
      <c r="H13" s="325"/>
      <c r="I13" s="311">
        <f t="shared" si="0"/>
        <v>0</v>
      </c>
      <c r="J13" s="325">
        <v>0</v>
      </c>
      <c r="K13" s="325">
        <f t="shared" si="1"/>
        <v>0</v>
      </c>
      <c r="L13" s="238">
        <v>10800</v>
      </c>
      <c r="M13" s="325">
        <v>7200</v>
      </c>
      <c r="N13" s="325">
        <v>7200</v>
      </c>
      <c r="Q13" s="188">
        <f t="shared" si="2"/>
        <v>0</v>
      </c>
      <c r="R13" s="471">
        <f t="shared" si="3"/>
        <v>0</v>
      </c>
    </row>
    <row r="14" spans="1:20" x14ac:dyDescent="0.25">
      <c r="A14" s="15" t="s">
        <v>121</v>
      </c>
      <c r="B14" s="15" t="s">
        <v>31</v>
      </c>
      <c r="C14" s="314"/>
      <c r="D14" s="314"/>
      <c r="E14" s="314"/>
      <c r="F14" s="314"/>
      <c r="G14" s="313">
        <v>547624</v>
      </c>
      <c r="H14" s="311">
        <v>86750.25</v>
      </c>
      <c r="I14" s="311">
        <f t="shared" si="0"/>
        <v>460873.75</v>
      </c>
      <c r="J14" s="311">
        <v>88030.568619999918</v>
      </c>
      <c r="K14" s="311">
        <f t="shared" si="1"/>
        <v>635654.56861999992</v>
      </c>
      <c r="L14" s="238">
        <v>859233</v>
      </c>
      <c r="M14" s="325">
        <v>701088</v>
      </c>
      <c r="N14" s="238">
        <v>701088</v>
      </c>
      <c r="O14" s="282">
        <v>635654.56861999992</v>
      </c>
      <c r="Q14" s="188">
        <f t="shared" si="2"/>
        <v>635654.56861999992</v>
      </c>
      <c r="R14" s="471">
        <f t="shared" si="3"/>
        <v>88030.568619999918</v>
      </c>
    </row>
    <row r="15" spans="1:20" x14ac:dyDescent="0.25">
      <c r="A15" s="15" t="s">
        <v>122</v>
      </c>
      <c r="B15" s="15" t="s">
        <v>123</v>
      </c>
      <c r="C15" s="314"/>
      <c r="D15" s="314"/>
      <c r="E15" s="314"/>
      <c r="F15" s="314"/>
      <c r="G15" s="313">
        <v>37875.89</v>
      </c>
      <c r="H15" s="311">
        <v>18728.080000000002</v>
      </c>
      <c r="I15" s="311">
        <f t="shared" si="0"/>
        <v>19147.809999999998</v>
      </c>
      <c r="J15" s="311">
        <v>0</v>
      </c>
      <c r="K15" s="311">
        <f t="shared" si="1"/>
        <v>37875.89</v>
      </c>
      <c r="L15" s="239">
        <f>K15*1.048</f>
        <v>39693.932720000004</v>
      </c>
      <c r="M15" s="238">
        <f>L15*1.044</f>
        <v>41440.465759680003</v>
      </c>
      <c r="N15" s="238">
        <f>M15*1.045</f>
        <v>43305.286718865602</v>
      </c>
      <c r="O15" s="282">
        <v>49027.233339159124</v>
      </c>
      <c r="Q15" s="188">
        <f t="shared" si="2"/>
        <v>49027.233339159124</v>
      </c>
      <c r="R15" s="471">
        <f t="shared" si="3"/>
        <v>11151.343339159124</v>
      </c>
    </row>
    <row r="16" spans="1:20" x14ac:dyDescent="0.25">
      <c r="A16" s="15"/>
      <c r="B16" s="212" t="s">
        <v>545</v>
      </c>
      <c r="C16" s="321"/>
      <c r="D16" s="321"/>
      <c r="E16" s="321"/>
      <c r="F16" s="321"/>
      <c r="G16" s="313">
        <v>52622</v>
      </c>
      <c r="H16" s="311"/>
      <c r="I16" s="311">
        <f t="shared" si="0"/>
        <v>52622</v>
      </c>
      <c r="J16" s="311">
        <v>0</v>
      </c>
      <c r="K16" s="311">
        <f t="shared" si="1"/>
        <v>52622</v>
      </c>
      <c r="L16" s="239">
        <f>K16*1.048</f>
        <v>55147.856</v>
      </c>
      <c r="M16" s="238">
        <f>L16*1.044</f>
        <v>57574.361664000004</v>
      </c>
      <c r="N16" s="238">
        <f>M16*1.045</f>
        <v>60165.207938879998</v>
      </c>
      <c r="O16" s="282">
        <v>68114.934996897238</v>
      </c>
      <c r="Q16" s="188">
        <f t="shared" si="2"/>
        <v>68114.934996897238</v>
      </c>
      <c r="R16" s="471">
        <f t="shared" si="3"/>
        <v>15492.934996897238</v>
      </c>
    </row>
    <row r="17" spans="1:23" hidden="1" x14ac:dyDescent="0.25">
      <c r="A17" s="240" t="s">
        <v>408</v>
      </c>
      <c r="B17" s="360" t="s">
        <v>502</v>
      </c>
      <c r="C17" s="361"/>
      <c r="D17" s="361"/>
      <c r="E17" s="361"/>
      <c r="F17" s="361"/>
      <c r="G17" s="313"/>
      <c r="H17" s="311"/>
      <c r="I17" s="311"/>
      <c r="J17" s="311"/>
      <c r="K17" s="311"/>
      <c r="L17" s="239"/>
      <c r="M17" s="238"/>
      <c r="N17" s="238"/>
      <c r="Q17" s="188">
        <f t="shared" si="2"/>
        <v>0</v>
      </c>
      <c r="R17" s="471">
        <f t="shared" si="3"/>
        <v>0</v>
      </c>
    </row>
    <row r="18" spans="1:23" x14ac:dyDescent="0.25">
      <c r="A18" s="240"/>
      <c r="B18" s="191" t="s">
        <v>1297</v>
      </c>
      <c r="C18" s="361"/>
      <c r="D18" s="361"/>
      <c r="E18" s="361"/>
      <c r="F18" s="361"/>
      <c r="G18" s="313">
        <v>0</v>
      </c>
      <c r="H18" s="311"/>
      <c r="I18" s="311"/>
      <c r="J18" s="311"/>
      <c r="K18" s="311">
        <v>0</v>
      </c>
      <c r="L18" s="239">
        <v>273419</v>
      </c>
      <c r="M18" s="348">
        <v>0</v>
      </c>
      <c r="N18" s="238">
        <v>0</v>
      </c>
      <c r="Q18" s="188"/>
      <c r="R18" s="471"/>
    </row>
    <row r="19" spans="1:23" x14ac:dyDescent="0.25">
      <c r="A19" s="240"/>
      <c r="B19" s="306" t="s">
        <v>552</v>
      </c>
      <c r="C19" s="328"/>
      <c r="D19" s="328"/>
      <c r="E19" s="328"/>
      <c r="F19" s="328"/>
      <c r="G19" s="331">
        <f>SUM(G7:G18)</f>
        <v>9798495.8900000006</v>
      </c>
      <c r="H19" s="331">
        <f t="shared" ref="H19:J19" si="4">SUM(H7:H17)</f>
        <v>4097257.4500000007</v>
      </c>
      <c r="I19" s="413">
        <f t="shared" si="4"/>
        <v>5701238.4399999995</v>
      </c>
      <c r="J19" s="413">
        <f t="shared" si="4"/>
        <v>1580548.76486</v>
      </c>
      <c r="K19" s="413">
        <f>SUM(K7:K18)</f>
        <v>11379044.654859999</v>
      </c>
      <c r="L19" s="486">
        <f>SUM(L7:L18)</f>
        <v>14954124.788720001</v>
      </c>
      <c r="M19" s="486">
        <f t="shared" ref="M19:U19" si="5">SUM(M7:M18)</f>
        <v>12382379.827423681</v>
      </c>
      <c r="N19" s="414">
        <f t="shared" si="5"/>
        <v>12827202.094657745</v>
      </c>
      <c r="O19" s="413">
        <f t="shared" si="5"/>
        <v>9574905.6803960539</v>
      </c>
      <c r="P19" s="413">
        <f t="shared" si="5"/>
        <v>1677444.4271999998</v>
      </c>
      <c r="Q19" s="413">
        <f t="shared" si="5"/>
        <v>11252350.107596055</v>
      </c>
      <c r="R19" s="413">
        <f t="shared" si="5"/>
        <v>1453854.2175960559</v>
      </c>
      <c r="S19" s="413">
        <f t="shared" si="5"/>
        <v>0</v>
      </c>
      <c r="T19" s="413">
        <f t="shared" si="5"/>
        <v>0</v>
      </c>
      <c r="U19" s="413">
        <f t="shared" si="5"/>
        <v>0</v>
      </c>
      <c r="V19" s="356"/>
      <c r="W19" s="357"/>
    </row>
    <row r="20" spans="1:23" hidden="1" x14ac:dyDescent="0.25">
      <c r="A20" s="240"/>
      <c r="B20" s="15"/>
      <c r="C20" s="131"/>
      <c r="D20" s="131"/>
      <c r="E20" s="131"/>
      <c r="F20" s="131"/>
      <c r="G20" s="489"/>
      <c r="L20" s="418"/>
      <c r="M20" s="336"/>
      <c r="N20" s="336"/>
      <c r="Q20" s="188">
        <f t="shared" si="2"/>
        <v>0</v>
      </c>
      <c r="R20" s="471">
        <f t="shared" si="3"/>
        <v>0</v>
      </c>
    </row>
    <row r="21" spans="1:23" x14ac:dyDescent="0.25">
      <c r="A21" s="240"/>
      <c r="B21" s="15"/>
      <c r="C21" s="131"/>
      <c r="D21" s="131"/>
      <c r="E21" s="131"/>
      <c r="F21" s="131"/>
      <c r="G21" s="489"/>
      <c r="L21" s="418"/>
      <c r="M21" s="336"/>
      <c r="N21" s="336"/>
      <c r="Q21" s="188">
        <f t="shared" si="2"/>
        <v>0</v>
      </c>
      <c r="R21" s="471">
        <f t="shared" si="3"/>
        <v>0</v>
      </c>
    </row>
    <row r="22" spans="1:23" x14ac:dyDescent="0.25">
      <c r="A22" s="240"/>
      <c r="B22" s="306" t="s">
        <v>553</v>
      </c>
      <c r="C22" s="131"/>
      <c r="D22" s="131"/>
      <c r="E22" s="131"/>
      <c r="F22" s="131"/>
      <c r="G22" s="489"/>
      <c r="L22" s="418"/>
      <c r="M22" s="336"/>
      <c r="N22" s="336"/>
      <c r="Q22" s="188">
        <f t="shared" si="2"/>
        <v>0</v>
      </c>
      <c r="R22" s="471">
        <f t="shared" si="3"/>
        <v>0</v>
      </c>
    </row>
    <row r="23" spans="1:23" x14ac:dyDescent="0.25">
      <c r="A23" s="15" t="s">
        <v>107</v>
      </c>
      <c r="B23" s="15" t="s">
        <v>13</v>
      </c>
      <c r="C23" s="305"/>
      <c r="D23" s="305"/>
      <c r="E23" s="419"/>
      <c r="F23" s="520"/>
      <c r="G23" s="341">
        <v>832</v>
      </c>
      <c r="H23" s="339">
        <v>366.8</v>
      </c>
      <c r="I23" s="339">
        <f>SUM(G23-H23)</f>
        <v>465.2</v>
      </c>
      <c r="J23" s="339">
        <v>147.20000000000005</v>
      </c>
      <c r="K23" s="339">
        <f>SUM(G23+J23)</f>
        <v>979.2</v>
      </c>
      <c r="L23" s="359">
        <v>1721</v>
      </c>
      <c r="M23" s="359">
        <v>1103</v>
      </c>
      <c r="N23" s="359">
        <v>1103</v>
      </c>
      <c r="O23" s="282">
        <v>979.2</v>
      </c>
      <c r="Q23" s="188">
        <f t="shared" si="2"/>
        <v>979.2</v>
      </c>
      <c r="R23" s="471">
        <f t="shared" si="3"/>
        <v>147.20000000000005</v>
      </c>
    </row>
    <row r="24" spans="1:23" ht="16.5" thickBot="1" x14ac:dyDescent="0.3">
      <c r="A24" s="15" t="s">
        <v>108</v>
      </c>
      <c r="B24" s="15" t="s">
        <v>15</v>
      </c>
      <c r="C24" s="314"/>
      <c r="D24" s="314"/>
      <c r="E24" s="375"/>
      <c r="F24" s="458"/>
      <c r="G24" s="313">
        <f>561279+36264</f>
        <v>597543</v>
      </c>
      <c r="H24" s="311">
        <v>273553</v>
      </c>
      <c r="I24" s="311">
        <f t="shared" ref="I24:I26" si="6">SUM(G24-H24)</f>
        <v>323990</v>
      </c>
      <c r="J24" s="311">
        <v>143264.76000000013</v>
      </c>
      <c r="K24" s="311">
        <f t="shared" ref="K24:K26" si="7">SUM(G24+J24)</f>
        <v>740807.76000000013</v>
      </c>
      <c r="L24" s="325">
        <v>744326</v>
      </c>
      <c r="M24" s="238">
        <v>778378</v>
      </c>
      <c r="N24" s="325">
        <v>856216</v>
      </c>
      <c r="O24" s="560">
        <v>740807.76000000013</v>
      </c>
      <c r="Q24" s="188">
        <f t="shared" si="2"/>
        <v>740807.76000000013</v>
      </c>
      <c r="R24" s="471">
        <f t="shared" si="3"/>
        <v>143264.76000000013</v>
      </c>
    </row>
    <row r="25" spans="1:23" ht="16.5" thickTop="1" x14ac:dyDescent="0.25">
      <c r="A25" s="15" t="s">
        <v>109</v>
      </c>
      <c r="B25" s="15" t="s">
        <v>17</v>
      </c>
      <c r="C25" s="314"/>
      <c r="D25" s="314"/>
      <c r="E25" s="375"/>
      <c r="F25" s="458"/>
      <c r="G25" s="313">
        <v>995137</v>
      </c>
      <c r="H25" s="311">
        <v>453900.97</v>
      </c>
      <c r="I25" s="311">
        <f t="shared" si="6"/>
        <v>541236.03</v>
      </c>
      <c r="J25" s="311">
        <v>238152.17647999991</v>
      </c>
      <c r="K25" s="311">
        <f t="shared" si="7"/>
        <v>1233289.1764799999</v>
      </c>
      <c r="L25" s="325">
        <v>1305054</v>
      </c>
      <c r="M25" s="238">
        <v>1298707</v>
      </c>
      <c r="N25" s="325">
        <v>1357149</v>
      </c>
      <c r="O25" s="282">
        <v>1233289.1764799999</v>
      </c>
      <c r="Q25" s="188">
        <f t="shared" si="2"/>
        <v>1233289.1764799999</v>
      </c>
      <c r="R25" s="471">
        <f t="shared" si="3"/>
        <v>238152.17647999991</v>
      </c>
    </row>
    <row r="26" spans="1:23" x14ac:dyDescent="0.25">
      <c r="A26" s="15" t="s">
        <v>110</v>
      </c>
      <c r="B26" s="15" t="s">
        <v>19</v>
      </c>
      <c r="C26" s="314"/>
      <c r="D26" s="314"/>
      <c r="E26" s="375"/>
      <c r="F26" s="458"/>
      <c r="G26" s="347">
        <v>25600</v>
      </c>
      <c r="H26" s="345">
        <v>12195.04</v>
      </c>
      <c r="I26" s="345">
        <f t="shared" si="6"/>
        <v>13404.96</v>
      </c>
      <c r="J26" s="345">
        <v>1784.9599999999991</v>
      </c>
      <c r="K26" s="345">
        <f t="shared" si="7"/>
        <v>27384.959999999999</v>
      </c>
      <c r="L26" s="326">
        <v>36312</v>
      </c>
      <c r="M26" s="348">
        <v>27385</v>
      </c>
      <c r="N26" s="326">
        <v>27385</v>
      </c>
      <c r="O26" s="282">
        <v>27384.959999999999</v>
      </c>
      <c r="Q26" s="188">
        <f t="shared" si="2"/>
        <v>27384.959999999999</v>
      </c>
      <c r="R26" s="471">
        <f t="shared" si="3"/>
        <v>1784.9599999999991</v>
      </c>
    </row>
    <row r="27" spans="1:23" x14ac:dyDescent="0.25">
      <c r="A27" s="240"/>
      <c r="B27" s="306" t="s">
        <v>554</v>
      </c>
      <c r="C27" s="328"/>
      <c r="D27" s="328"/>
      <c r="E27" s="561"/>
      <c r="F27" s="495"/>
      <c r="G27" s="562">
        <f t="shared" ref="G27:U27" si="8">SUM(G23:G26)</f>
        <v>1619112</v>
      </c>
      <c r="H27" s="562">
        <f t="shared" si="8"/>
        <v>740015.81</v>
      </c>
      <c r="I27" s="562">
        <f t="shared" si="8"/>
        <v>879096.19</v>
      </c>
      <c r="J27" s="562">
        <f t="shared" si="8"/>
        <v>383349.09648000007</v>
      </c>
      <c r="K27" s="562">
        <f t="shared" si="8"/>
        <v>2002461.0964799998</v>
      </c>
      <c r="L27" s="563">
        <f t="shared" si="8"/>
        <v>2087413</v>
      </c>
      <c r="M27" s="563">
        <f t="shared" si="8"/>
        <v>2105573</v>
      </c>
      <c r="N27" s="563">
        <f t="shared" si="8"/>
        <v>2241853</v>
      </c>
      <c r="O27" s="282">
        <f t="shared" si="8"/>
        <v>2002461.0964799998</v>
      </c>
      <c r="P27" s="282">
        <f t="shared" si="8"/>
        <v>0</v>
      </c>
      <c r="Q27" s="188">
        <f t="shared" si="8"/>
        <v>2002461.0964799998</v>
      </c>
      <c r="R27" s="282">
        <f t="shared" si="8"/>
        <v>383349.09648000007</v>
      </c>
      <c r="S27" s="282">
        <f t="shared" si="8"/>
        <v>0</v>
      </c>
      <c r="T27" s="282">
        <f t="shared" si="8"/>
        <v>0</v>
      </c>
      <c r="U27" s="282">
        <f t="shared" si="8"/>
        <v>0</v>
      </c>
    </row>
    <row r="28" spans="1:23" ht="16.5" thickBot="1" x14ac:dyDescent="0.3">
      <c r="A28" s="240"/>
      <c r="B28" s="306" t="s">
        <v>555</v>
      </c>
      <c r="C28" s="350"/>
      <c r="D28" s="350"/>
      <c r="E28" s="350"/>
      <c r="F28" s="350"/>
      <c r="G28" s="487">
        <f t="shared" ref="G28:U28" si="9">G19+G27</f>
        <v>11417607.890000001</v>
      </c>
      <c r="H28" s="353">
        <f t="shared" si="9"/>
        <v>4837273.2600000007</v>
      </c>
      <c r="I28" s="353">
        <f t="shared" si="9"/>
        <v>6580334.629999999</v>
      </c>
      <c r="J28" s="353">
        <f t="shared" si="9"/>
        <v>1963897.8613400001</v>
      </c>
      <c r="K28" s="353">
        <f t="shared" si="9"/>
        <v>13381505.751339998</v>
      </c>
      <c r="L28" s="354">
        <f t="shared" si="9"/>
        <v>17041537.788720001</v>
      </c>
      <c r="M28" s="354">
        <f t="shared" si="9"/>
        <v>14487952.827423681</v>
      </c>
      <c r="N28" s="354">
        <f t="shared" si="9"/>
        <v>15069055.094657745</v>
      </c>
      <c r="O28" s="282">
        <f t="shared" si="9"/>
        <v>11577366.776876055</v>
      </c>
      <c r="P28" s="282">
        <f t="shared" si="9"/>
        <v>1677444.4271999998</v>
      </c>
      <c r="Q28" s="188">
        <f t="shared" si="9"/>
        <v>13254811.204076055</v>
      </c>
      <c r="R28" s="282">
        <f t="shared" si="9"/>
        <v>1837203.314076056</v>
      </c>
      <c r="S28" s="282">
        <f t="shared" si="9"/>
        <v>0</v>
      </c>
      <c r="T28" s="282">
        <f t="shared" si="9"/>
        <v>0</v>
      </c>
      <c r="U28" s="282">
        <f t="shared" si="9"/>
        <v>0</v>
      </c>
      <c r="V28" s="356"/>
      <c r="W28" s="357"/>
    </row>
    <row r="29" spans="1:23" x14ac:dyDescent="0.25">
      <c r="A29" s="240"/>
      <c r="B29" s="15"/>
      <c r="C29" s="131"/>
      <c r="D29" s="131"/>
      <c r="E29" s="131"/>
      <c r="F29" s="131"/>
      <c r="G29" s="489"/>
      <c r="L29" s="418"/>
      <c r="M29" s="336"/>
      <c r="N29" s="336"/>
    </row>
    <row r="30" spans="1:23" x14ac:dyDescent="0.25">
      <c r="A30" s="16" t="s">
        <v>404</v>
      </c>
      <c r="B30" s="523" t="s">
        <v>559</v>
      </c>
      <c r="C30" s="523"/>
      <c r="D30" s="523"/>
      <c r="E30" s="523"/>
      <c r="F30" s="523"/>
      <c r="G30" s="341"/>
      <c r="H30" s="339"/>
      <c r="I30" s="339"/>
      <c r="J30" s="339"/>
      <c r="K30" s="339"/>
      <c r="L30" s="432">
        <f>K30*1.048</f>
        <v>0</v>
      </c>
      <c r="M30" s="359">
        <f>L30*1.044</f>
        <v>0</v>
      </c>
      <c r="N30" s="359">
        <f>M30*1.045</f>
        <v>0</v>
      </c>
    </row>
    <row r="31" spans="1:23" x14ac:dyDescent="0.25">
      <c r="A31" s="16" t="s">
        <v>405</v>
      </c>
      <c r="B31" s="16" t="s">
        <v>319</v>
      </c>
      <c r="C31" s="426"/>
      <c r="D31" s="426"/>
      <c r="E31" s="427"/>
      <c r="F31" s="491"/>
      <c r="G31" s="341">
        <v>28727</v>
      </c>
      <c r="H31" s="339">
        <v>26587.95</v>
      </c>
      <c r="I31" s="339">
        <f>SUM(G31-H31)</f>
        <v>2139.0499999999993</v>
      </c>
      <c r="J31" s="339">
        <v>10000</v>
      </c>
      <c r="K31" s="339">
        <f>SUM(G31+J31)</f>
        <v>38727</v>
      </c>
      <c r="L31" s="359">
        <f t="shared" ref="L31:L34" si="10">K31*1.048</f>
        <v>40585.896000000001</v>
      </c>
      <c r="M31" s="344">
        <f t="shared" ref="M31:M34" si="11">L31*1.044</f>
        <v>42371.675424000001</v>
      </c>
      <c r="N31" s="344">
        <f t="shared" ref="N31:N34" si="12">M31*1.045</f>
        <v>44278.400818080001</v>
      </c>
    </row>
    <row r="32" spans="1:23" x14ac:dyDescent="0.25">
      <c r="A32" s="16" t="s">
        <v>406</v>
      </c>
      <c r="B32" s="16" t="s">
        <v>321</v>
      </c>
      <c r="C32" s="428"/>
      <c r="D32" s="428"/>
      <c r="E32" s="429"/>
      <c r="F32" s="493"/>
      <c r="G32" s="313">
        <v>462852</v>
      </c>
      <c r="H32" s="311">
        <v>160280.45000000001</v>
      </c>
      <c r="I32" s="311">
        <f t="shared" ref="I32:I33" si="13">SUM(G32-H32)</f>
        <v>302571.55</v>
      </c>
      <c r="J32" s="311">
        <v>-142292</v>
      </c>
      <c r="K32" s="311">
        <f t="shared" ref="K32:K33" si="14">SUM(G32+J32)</f>
        <v>320560</v>
      </c>
      <c r="L32" s="325">
        <f t="shared" si="10"/>
        <v>335946.88</v>
      </c>
      <c r="M32" s="238">
        <f t="shared" si="11"/>
        <v>350728.54272000003</v>
      </c>
      <c r="N32" s="238">
        <f t="shared" si="12"/>
        <v>366511.32714240003</v>
      </c>
    </row>
    <row r="33" spans="1:21" x14ac:dyDescent="0.25">
      <c r="A33" s="16"/>
      <c r="B33" s="564" t="s">
        <v>958</v>
      </c>
      <c r="C33" s="565"/>
      <c r="D33" s="565"/>
      <c r="E33" s="566"/>
      <c r="F33" s="567"/>
      <c r="G33" s="464">
        <v>8633</v>
      </c>
      <c r="H33" s="465">
        <v>31545.42</v>
      </c>
      <c r="I33" s="465">
        <f t="shared" si="13"/>
        <v>-22912.42</v>
      </c>
      <c r="J33" s="465">
        <v>22912</v>
      </c>
      <c r="K33" s="465">
        <f t="shared" si="14"/>
        <v>31545</v>
      </c>
      <c r="L33" s="325">
        <f t="shared" si="10"/>
        <v>33059.160000000003</v>
      </c>
      <c r="M33" s="238">
        <f t="shared" si="11"/>
        <v>34513.763040000005</v>
      </c>
      <c r="N33" s="238">
        <f t="shared" si="12"/>
        <v>36066.8823768</v>
      </c>
    </row>
    <row r="34" spans="1:21" hidden="1" x14ac:dyDescent="0.25">
      <c r="A34" s="16" t="s">
        <v>407</v>
      </c>
      <c r="B34" s="16" t="s">
        <v>333</v>
      </c>
      <c r="C34" s="428"/>
      <c r="D34" s="428"/>
      <c r="E34" s="429"/>
      <c r="F34" s="493"/>
      <c r="G34" s="347">
        <v>0</v>
      </c>
      <c r="H34" s="345"/>
      <c r="I34" s="345"/>
      <c r="J34" s="345"/>
      <c r="K34" s="345"/>
      <c r="L34" s="485">
        <f t="shared" si="10"/>
        <v>0</v>
      </c>
      <c r="M34" s="348">
        <f t="shared" si="11"/>
        <v>0</v>
      </c>
      <c r="N34" s="348">
        <f t="shared" si="12"/>
        <v>0</v>
      </c>
    </row>
    <row r="35" spans="1:21" x14ac:dyDescent="0.25">
      <c r="A35" s="240"/>
      <c r="B35" s="306" t="s">
        <v>566</v>
      </c>
      <c r="C35" s="328"/>
      <c r="D35" s="328"/>
      <c r="E35" s="561"/>
      <c r="F35" s="495"/>
      <c r="G35" s="496">
        <f t="shared" ref="G35:U35" si="15">SUM(G30:G34)</f>
        <v>500212</v>
      </c>
      <c r="H35" s="496">
        <f t="shared" si="15"/>
        <v>218413.82</v>
      </c>
      <c r="I35" s="496">
        <f t="shared" si="15"/>
        <v>281798.18</v>
      </c>
      <c r="J35" s="496">
        <f t="shared" si="15"/>
        <v>-109380</v>
      </c>
      <c r="K35" s="496">
        <f t="shared" si="15"/>
        <v>390832</v>
      </c>
      <c r="L35" s="497">
        <f t="shared" si="15"/>
        <v>409591.93599999999</v>
      </c>
      <c r="M35" s="497">
        <f t="shared" si="15"/>
        <v>427613.98118400003</v>
      </c>
      <c r="N35" s="497">
        <f t="shared" si="15"/>
        <v>446856.61033728003</v>
      </c>
      <c r="O35" s="282">
        <f t="shared" si="15"/>
        <v>0</v>
      </c>
      <c r="P35" s="282">
        <f t="shared" si="15"/>
        <v>0</v>
      </c>
      <c r="Q35" s="282">
        <f t="shared" si="15"/>
        <v>0</v>
      </c>
      <c r="R35" s="282">
        <f t="shared" si="15"/>
        <v>0</v>
      </c>
      <c r="S35" s="282">
        <f t="shared" si="15"/>
        <v>0</v>
      </c>
      <c r="T35" s="282">
        <f t="shared" si="15"/>
        <v>0</v>
      </c>
      <c r="U35" s="282">
        <f t="shared" si="15"/>
        <v>0</v>
      </c>
    </row>
    <row r="36" spans="1:21" x14ac:dyDescent="0.25">
      <c r="A36" s="240"/>
      <c r="B36" s="15"/>
      <c r="C36" s="131"/>
      <c r="D36" s="131"/>
      <c r="E36" s="131"/>
      <c r="F36" s="131"/>
      <c r="G36" s="489"/>
      <c r="L36" s="418"/>
      <c r="M36" s="568"/>
      <c r="N36" s="336"/>
    </row>
    <row r="37" spans="1:21" x14ac:dyDescent="0.25">
      <c r="A37" s="131"/>
      <c r="B37" s="393" t="s">
        <v>569</v>
      </c>
      <c r="G37" s="489"/>
      <c r="L37" s="418"/>
      <c r="M37" s="336"/>
      <c r="N37" s="336"/>
    </row>
    <row r="38" spans="1:21" ht="19.5" customHeight="1" x14ac:dyDescent="0.25">
      <c r="A38" s="15" t="s">
        <v>92</v>
      </c>
      <c r="B38" s="15" t="s">
        <v>5</v>
      </c>
      <c r="C38" s="569" t="s">
        <v>313</v>
      </c>
      <c r="D38" s="305" t="s">
        <v>1150</v>
      </c>
      <c r="E38" s="338" t="s">
        <v>1096</v>
      </c>
      <c r="F38" s="498" t="s">
        <v>1093</v>
      </c>
      <c r="G38" s="344">
        <f>G28*1/100</f>
        <v>114176.07890000001</v>
      </c>
      <c r="H38" s="342">
        <v>40730.89</v>
      </c>
      <c r="I38" s="344">
        <f t="shared" ref="I38:I63" si="16">SUM(G38-H38)</f>
        <v>73445.188900000008</v>
      </c>
      <c r="J38" s="344">
        <v>0</v>
      </c>
      <c r="K38" s="342">
        <f t="shared" ref="K38:K63" si="17">SUM(G38+J38)</f>
        <v>114176.07890000001</v>
      </c>
      <c r="L38" s="344">
        <f>L28*1/100</f>
        <v>170415.37788720001</v>
      </c>
      <c r="M38" s="343">
        <f>M28*1/100</f>
        <v>144879.5282742368</v>
      </c>
      <c r="N38" s="344">
        <f>N28*1/100</f>
        <v>150690.55094657745</v>
      </c>
    </row>
    <row r="39" spans="1:21" ht="19.5" customHeight="1" x14ac:dyDescent="0.25">
      <c r="A39" s="15"/>
      <c r="B39" s="15" t="s">
        <v>1313</v>
      </c>
      <c r="C39" s="570"/>
      <c r="D39" s="314"/>
      <c r="E39" s="318"/>
      <c r="F39" s="472"/>
      <c r="G39" s="238"/>
      <c r="H39" s="239"/>
      <c r="I39" s="238"/>
      <c r="J39" s="238"/>
      <c r="K39" s="239"/>
      <c r="L39" s="238">
        <v>2000</v>
      </c>
      <c r="M39" s="237">
        <v>2000</v>
      </c>
      <c r="N39" s="238">
        <v>2000</v>
      </c>
    </row>
    <row r="40" spans="1:21" s="281" customFormat="1" ht="19.7" customHeight="1" x14ac:dyDescent="0.25">
      <c r="A40" s="191" t="s">
        <v>93</v>
      </c>
      <c r="B40" s="15" t="s">
        <v>103</v>
      </c>
      <c r="C40" s="314" t="s">
        <v>313</v>
      </c>
      <c r="D40" s="314" t="s">
        <v>1150</v>
      </c>
      <c r="E40" s="318" t="s">
        <v>1132</v>
      </c>
      <c r="F40" s="472" t="s">
        <v>1093</v>
      </c>
      <c r="G40" s="238">
        <v>358299</v>
      </c>
      <c r="H40" s="239">
        <v>204972</v>
      </c>
      <c r="I40" s="238">
        <f t="shared" si="16"/>
        <v>153327</v>
      </c>
      <c r="J40" s="238">
        <v>0</v>
      </c>
      <c r="K40" s="239">
        <f t="shared" si="17"/>
        <v>358299</v>
      </c>
      <c r="L40" s="238">
        <f>K40*1.048-10000</f>
        <v>365497.35200000001</v>
      </c>
      <c r="M40" s="237">
        <f>L40*1.044</f>
        <v>381579.23548800003</v>
      </c>
      <c r="N40" s="238">
        <f>M40*1.045</f>
        <v>398750.30108496</v>
      </c>
    </row>
    <row r="41" spans="1:21" ht="26.45" hidden="1" customHeight="1" x14ac:dyDescent="0.25">
      <c r="A41" s="15" t="s">
        <v>412</v>
      </c>
      <c r="B41" s="232" t="s">
        <v>530</v>
      </c>
      <c r="C41" s="244"/>
      <c r="D41" s="244" t="s">
        <v>1150</v>
      </c>
      <c r="E41" s="376"/>
      <c r="F41" s="571" t="s">
        <v>1093</v>
      </c>
      <c r="G41" s="238">
        <v>0</v>
      </c>
      <c r="H41" s="239"/>
      <c r="I41" s="238">
        <f t="shared" si="16"/>
        <v>0</v>
      </c>
      <c r="J41" s="238"/>
      <c r="K41" s="239">
        <f t="shared" si="17"/>
        <v>0</v>
      </c>
      <c r="L41" s="238">
        <f>K41*1.048</f>
        <v>0</v>
      </c>
      <c r="M41" s="237">
        <f>L41*1.044</f>
        <v>0</v>
      </c>
      <c r="N41" s="238">
        <f>M41*1.045</f>
        <v>0</v>
      </c>
    </row>
    <row r="42" spans="1:21" ht="19.7" hidden="1" customHeight="1" x14ac:dyDescent="0.25">
      <c r="A42" s="15"/>
      <c r="B42" s="15" t="s">
        <v>845</v>
      </c>
      <c r="C42" s="314" t="s">
        <v>313</v>
      </c>
      <c r="D42" s="314" t="s">
        <v>1150</v>
      </c>
      <c r="E42" s="318" t="s">
        <v>1132</v>
      </c>
      <c r="F42" s="472" t="s">
        <v>1093</v>
      </c>
      <c r="G42" s="238">
        <v>0</v>
      </c>
      <c r="H42" s="239"/>
      <c r="I42" s="238">
        <f t="shared" si="16"/>
        <v>0</v>
      </c>
      <c r="J42" s="238"/>
      <c r="K42" s="239">
        <f t="shared" si="17"/>
        <v>0</v>
      </c>
      <c r="L42" s="238">
        <f>K42*1.048</f>
        <v>0</v>
      </c>
      <c r="M42" s="237">
        <f>L42*1.044</f>
        <v>0</v>
      </c>
      <c r="N42" s="238">
        <f>M42*1.045</f>
        <v>0</v>
      </c>
    </row>
    <row r="43" spans="1:21" ht="19.5" customHeight="1" x14ac:dyDescent="0.25">
      <c r="A43" s="15"/>
      <c r="B43" s="15" t="s">
        <v>97</v>
      </c>
      <c r="C43" s="314" t="s">
        <v>313</v>
      </c>
      <c r="D43" s="314" t="s">
        <v>1150</v>
      </c>
      <c r="E43" s="318" t="s">
        <v>1129</v>
      </c>
      <c r="F43" s="472" t="s">
        <v>1093</v>
      </c>
      <c r="G43" s="238">
        <v>960000</v>
      </c>
      <c r="H43" s="239">
        <v>280655.13</v>
      </c>
      <c r="I43" s="238">
        <f t="shared" si="16"/>
        <v>679344.87</v>
      </c>
      <c r="J43" s="238">
        <v>0</v>
      </c>
      <c r="K43" s="239">
        <f t="shared" si="17"/>
        <v>960000</v>
      </c>
      <c r="L43" s="238">
        <v>960000</v>
      </c>
      <c r="M43" s="237">
        <v>970000</v>
      </c>
      <c r="N43" s="238">
        <v>980000</v>
      </c>
    </row>
    <row r="44" spans="1:21" ht="19.5" customHeight="1" x14ac:dyDescent="0.25">
      <c r="A44" s="15" t="s">
        <v>94</v>
      </c>
      <c r="B44" s="15" t="s">
        <v>99</v>
      </c>
      <c r="C44" s="314" t="s">
        <v>313</v>
      </c>
      <c r="D44" s="314" t="s">
        <v>1150</v>
      </c>
      <c r="E44" s="318" t="s">
        <v>1131</v>
      </c>
      <c r="F44" s="472" t="s">
        <v>1093</v>
      </c>
      <c r="G44" s="238">
        <v>1000000</v>
      </c>
      <c r="H44" s="239">
        <v>967000</v>
      </c>
      <c r="I44" s="238">
        <f t="shared" si="16"/>
        <v>33000</v>
      </c>
      <c r="J44" s="238">
        <v>0</v>
      </c>
      <c r="K44" s="239">
        <f t="shared" si="17"/>
        <v>1000000</v>
      </c>
      <c r="L44" s="238">
        <v>1000000</v>
      </c>
      <c r="M44" s="237">
        <v>1000000</v>
      </c>
      <c r="N44" s="238">
        <v>1000000</v>
      </c>
    </row>
    <row r="45" spans="1:21" ht="19.7" customHeight="1" x14ac:dyDescent="0.25">
      <c r="A45" s="15" t="s">
        <v>96</v>
      </c>
      <c r="B45" s="15" t="s">
        <v>101</v>
      </c>
      <c r="C45" s="314" t="s">
        <v>313</v>
      </c>
      <c r="D45" s="314" t="s">
        <v>1150</v>
      </c>
      <c r="E45" s="318" t="s">
        <v>1130</v>
      </c>
      <c r="F45" s="472" t="s">
        <v>1093</v>
      </c>
      <c r="G45" s="238">
        <v>600000</v>
      </c>
      <c r="H45" s="239">
        <v>361702.13</v>
      </c>
      <c r="I45" s="238">
        <f t="shared" si="16"/>
        <v>238297.87</v>
      </c>
      <c r="J45" s="238">
        <v>0</v>
      </c>
      <c r="K45" s="239">
        <f t="shared" si="17"/>
        <v>600000</v>
      </c>
      <c r="L45" s="238">
        <v>650000</v>
      </c>
      <c r="M45" s="237">
        <v>650000</v>
      </c>
      <c r="N45" s="238">
        <v>650000</v>
      </c>
    </row>
    <row r="46" spans="1:21" ht="19.7" customHeight="1" x14ac:dyDescent="0.25">
      <c r="A46" s="15" t="s">
        <v>98</v>
      </c>
      <c r="B46" s="15" t="s">
        <v>979</v>
      </c>
      <c r="C46" s="314" t="s">
        <v>313</v>
      </c>
      <c r="D46" s="314" t="s">
        <v>1150</v>
      </c>
      <c r="E46" s="318" t="s">
        <v>1137</v>
      </c>
      <c r="F46" s="472" t="s">
        <v>1093</v>
      </c>
      <c r="G46" s="238">
        <v>560000</v>
      </c>
      <c r="H46" s="239"/>
      <c r="I46" s="238">
        <f t="shared" si="16"/>
        <v>560000</v>
      </c>
      <c r="J46" s="238">
        <v>0</v>
      </c>
      <c r="K46" s="239">
        <f t="shared" si="17"/>
        <v>560000</v>
      </c>
      <c r="L46" s="238">
        <f>K46*1.048</f>
        <v>586880</v>
      </c>
      <c r="M46" s="237">
        <v>600000</v>
      </c>
      <c r="N46" s="238">
        <v>600000</v>
      </c>
      <c r="Q46" s="572"/>
    </row>
    <row r="47" spans="1:21" ht="19.5" customHeight="1" x14ac:dyDescent="0.25">
      <c r="A47" s="15" t="s">
        <v>100</v>
      </c>
      <c r="B47" s="191" t="s">
        <v>105</v>
      </c>
      <c r="C47" s="244" t="s">
        <v>313</v>
      </c>
      <c r="D47" s="244" t="s">
        <v>1150</v>
      </c>
      <c r="E47" s="246" t="s">
        <v>1133</v>
      </c>
      <c r="F47" s="571" t="s">
        <v>1093</v>
      </c>
      <c r="G47" s="238">
        <f>2500000-471831</f>
        <v>2028169</v>
      </c>
      <c r="H47" s="239">
        <v>2493120.0699999998</v>
      </c>
      <c r="I47" s="238">
        <f t="shared" si="16"/>
        <v>-464951.06999999983</v>
      </c>
      <c r="J47" s="238">
        <v>1500000</v>
      </c>
      <c r="K47" s="239">
        <f t="shared" si="17"/>
        <v>3528169</v>
      </c>
      <c r="L47" s="238">
        <f>K47*1.048-150000</f>
        <v>3547521.1120000002</v>
      </c>
      <c r="M47" s="238">
        <v>3200000</v>
      </c>
      <c r="N47" s="238">
        <v>3200000</v>
      </c>
      <c r="Q47" s="572"/>
    </row>
    <row r="48" spans="1:21" ht="31.5" hidden="1" x14ac:dyDescent="0.25">
      <c r="A48" s="15"/>
      <c r="B48" s="459" t="s">
        <v>994</v>
      </c>
      <c r="C48" s="535"/>
      <c r="D48" s="535" t="s">
        <v>1150</v>
      </c>
      <c r="E48" s="573"/>
      <c r="F48" s="574" t="s">
        <v>1093</v>
      </c>
      <c r="G48" s="238">
        <v>0</v>
      </c>
      <c r="H48" s="239"/>
      <c r="I48" s="238">
        <f t="shared" si="16"/>
        <v>0</v>
      </c>
      <c r="J48" s="238"/>
      <c r="K48" s="239">
        <f t="shared" si="17"/>
        <v>0</v>
      </c>
      <c r="L48" s="238"/>
      <c r="M48" s="238"/>
      <c r="N48" s="238"/>
      <c r="Q48" s="572"/>
    </row>
    <row r="49" spans="1:26" ht="19.5" customHeight="1" x14ac:dyDescent="0.25">
      <c r="A49" s="15" t="s">
        <v>102</v>
      </c>
      <c r="B49" s="15" t="s">
        <v>842</v>
      </c>
      <c r="C49" s="314" t="s">
        <v>313</v>
      </c>
      <c r="D49" s="314" t="s">
        <v>1150</v>
      </c>
      <c r="E49" s="318" t="s">
        <v>1136</v>
      </c>
      <c r="F49" s="472" t="s">
        <v>1093</v>
      </c>
      <c r="G49" s="238">
        <v>75569</v>
      </c>
      <c r="H49" s="239">
        <v>9076</v>
      </c>
      <c r="I49" s="238">
        <f t="shared" si="16"/>
        <v>66493</v>
      </c>
      <c r="J49" s="238">
        <v>0</v>
      </c>
      <c r="K49" s="239">
        <f t="shared" si="17"/>
        <v>75569</v>
      </c>
      <c r="L49" s="238">
        <f>K49*1.048</f>
        <v>79196.312000000005</v>
      </c>
      <c r="M49" s="238">
        <f t="shared" ref="M49:M60" si="18">L49*1.044</f>
        <v>82680.949728000007</v>
      </c>
      <c r="N49" s="238">
        <f t="shared" ref="N49:N60" si="19">M49*1.045</f>
        <v>86401.592465759997</v>
      </c>
      <c r="Q49" s="572"/>
    </row>
    <row r="50" spans="1:26" s="281" customFormat="1" ht="47.25" hidden="1" x14ac:dyDescent="0.25">
      <c r="A50" s="191" t="s">
        <v>104</v>
      </c>
      <c r="B50" s="15" t="s">
        <v>843</v>
      </c>
      <c r="C50" s="314" t="s">
        <v>313</v>
      </c>
      <c r="D50" s="314" t="s">
        <v>1150</v>
      </c>
      <c r="E50" s="318" t="s">
        <v>1107</v>
      </c>
      <c r="F50" s="472" t="s">
        <v>1093</v>
      </c>
      <c r="G50" s="238">
        <v>0</v>
      </c>
      <c r="H50" s="239"/>
      <c r="I50" s="238">
        <f t="shared" si="16"/>
        <v>0</v>
      </c>
      <c r="J50" s="238"/>
      <c r="K50" s="239">
        <f t="shared" si="17"/>
        <v>0</v>
      </c>
      <c r="L50" s="238">
        <f>K50*1.048</f>
        <v>0</v>
      </c>
      <c r="M50" s="238">
        <f t="shared" si="18"/>
        <v>0</v>
      </c>
      <c r="N50" s="238">
        <f t="shared" si="19"/>
        <v>0</v>
      </c>
      <c r="O50" s="575"/>
      <c r="P50" s="575"/>
      <c r="Q50" s="576"/>
      <c r="R50" s="189"/>
    </row>
    <row r="51" spans="1:26" ht="19.5" customHeight="1" x14ac:dyDescent="0.25">
      <c r="A51" s="15" t="s">
        <v>111</v>
      </c>
      <c r="B51" s="15" t="s">
        <v>409</v>
      </c>
      <c r="C51" s="314" t="s">
        <v>313</v>
      </c>
      <c r="D51" s="314" t="s">
        <v>1150</v>
      </c>
      <c r="E51" s="318" t="s">
        <v>1101</v>
      </c>
      <c r="F51" s="472" t="s">
        <v>1093</v>
      </c>
      <c r="G51" s="238">
        <v>140000</v>
      </c>
      <c r="H51" s="239"/>
      <c r="I51" s="238">
        <f t="shared" si="16"/>
        <v>140000</v>
      </c>
      <c r="J51" s="238">
        <v>50000</v>
      </c>
      <c r="K51" s="239">
        <f t="shared" si="17"/>
        <v>190000</v>
      </c>
      <c r="L51" s="238">
        <f>200000-50000</f>
        <v>150000</v>
      </c>
      <c r="M51" s="238">
        <f t="shared" si="18"/>
        <v>156600</v>
      </c>
      <c r="N51" s="238">
        <f t="shared" si="19"/>
        <v>163647</v>
      </c>
      <c r="O51" s="577"/>
      <c r="P51" s="577"/>
      <c r="Q51" s="572"/>
    </row>
    <row r="52" spans="1:26" s="281" customFormat="1" ht="19.5" customHeight="1" x14ac:dyDescent="0.25">
      <c r="A52" s="191" t="s">
        <v>113</v>
      </c>
      <c r="B52" s="191" t="s">
        <v>934</v>
      </c>
      <c r="C52" s="244" t="s">
        <v>313</v>
      </c>
      <c r="D52" s="244" t="s">
        <v>1150</v>
      </c>
      <c r="E52" s="246" t="s">
        <v>1105</v>
      </c>
      <c r="F52" s="571" t="s">
        <v>1093</v>
      </c>
      <c r="G52" s="238">
        <v>4635</v>
      </c>
      <c r="H52" s="239"/>
      <c r="I52" s="238">
        <f t="shared" si="16"/>
        <v>4635</v>
      </c>
      <c r="J52" s="238">
        <v>50000</v>
      </c>
      <c r="K52" s="239">
        <f t="shared" si="17"/>
        <v>54635</v>
      </c>
      <c r="L52" s="238">
        <v>60000</v>
      </c>
      <c r="M52" s="238">
        <f t="shared" si="18"/>
        <v>62640</v>
      </c>
      <c r="N52" s="238">
        <f t="shared" si="19"/>
        <v>65458.799999999996</v>
      </c>
      <c r="O52" s="575"/>
      <c r="P52" s="575"/>
      <c r="Q52" s="578"/>
    </row>
    <row r="53" spans="1:26" s="281" customFormat="1" ht="18.95" customHeight="1" x14ac:dyDescent="0.25">
      <c r="A53" s="191" t="s">
        <v>114</v>
      </c>
      <c r="B53" s="191" t="s">
        <v>411</v>
      </c>
      <c r="C53" s="244" t="s">
        <v>313</v>
      </c>
      <c r="D53" s="244" t="s">
        <v>1150</v>
      </c>
      <c r="E53" s="246" t="s">
        <v>1106</v>
      </c>
      <c r="F53" s="571" t="s">
        <v>1093</v>
      </c>
      <c r="G53" s="238">
        <v>0</v>
      </c>
      <c r="H53" s="239"/>
      <c r="I53" s="238">
        <f t="shared" si="16"/>
        <v>0</v>
      </c>
      <c r="J53" s="238">
        <v>50000</v>
      </c>
      <c r="K53" s="239">
        <f t="shared" si="17"/>
        <v>50000</v>
      </c>
      <c r="L53" s="238">
        <f>60000-25000</f>
        <v>35000</v>
      </c>
      <c r="M53" s="238">
        <f t="shared" si="18"/>
        <v>36540</v>
      </c>
      <c r="N53" s="238">
        <f t="shared" si="19"/>
        <v>38184.299999999996</v>
      </c>
      <c r="Q53" s="578"/>
    </row>
    <row r="54" spans="1:26" s="281" customFormat="1" ht="19.5" customHeight="1" x14ac:dyDescent="0.25">
      <c r="A54" s="191" t="s">
        <v>115</v>
      </c>
      <c r="B54" s="191" t="s">
        <v>95</v>
      </c>
      <c r="C54" s="244" t="s">
        <v>313</v>
      </c>
      <c r="D54" s="244" t="s">
        <v>1150</v>
      </c>
      <c r="E54" s="246" t="s">
        <v>1128</v>
      </c>
      <c r="F54" s="571" t="s">
        <v>1093</v>
      </c>
      <c r="G54" s="238">
        <v>32195</v>
      </c>
      <c r="H54" s="239"/>
      <c r="I54" s="238">
        <f t="shared" si="16"/>
        <v>32195</v>
      </c>
      <c r="J54" s="238">
        <v>0</v>
      </c>
      <c r="K54" s="239">
        <f t="shared" si="17"/>
        <v>32195</v>
      </c>
      <c r="L54" s="238">
        <f t="shared" ref="L54:L59" si="20">K54*1.048</f>
        <v>33740.36</v>
      </c>
      <c r="M54" s="238">
        <f t="shared" si="18"/>
        <v>35224.935840000006</v>
      </c>
      <c r="N54" s="238">
        <f t="shared" si="19"/>
        <v>36810.057952800002</v>
      </c>
      <c r="Q54" s="578"/>
    </row>
    <row r="55" spans="1:26" s="281" customFormat="1" ht="18.95" customHeight="1" x14ac:dyDescent="0.25">
      <c r="A55" s="191" t="s">
        <v>118</v>
      </c>
      <c r="B55" s="191" t="s">
        <v>21</v>
      </c>
      <c r="C55" s="244" t="s">
        <v>313</v>
      </c>
      <c r="D55" s="244" t="s">
        <v>1150</v>
      </c>
      <c r="E55" s="246" t="s">
        <v>1101</v>
      </c>
      <c r="F55" s="571" t="s">
        <v>1093</v>
      </c>
      <c r="G55" s="238">
        <v>65551</v>
      </c>
      <c r="H55" s="239">
        <v>56786.49</v>
      </c>
      <c r="I55" s="238">
        <f t="shared" si="16"/>
        <v>8764.510000000002</v>
      </c>
      <c r="J55" s="238">
        <v>100000</v>
      </c>
      <c r="K55" s="239">
        <f t="shared" si="17"/>
        <v>165551</v>
      </c>
      <c r="L55" s="238">
        <f>K55*1.048-9800</f>
        <v>163697.448</v>
      </c>
      <c r="M55" s="238">
        <f t="shared" si="18"/>
        <v>170900.13571200002</v>
      </c>
      <c r="N55" s="238">
        <f t="shared" si="19"/>
        <v>178590.64181904</v>
      </c>
      <c r="Q55" s="578"/>
    </row>
    <row r="56" spans="1:26" ht="63" hidden="1" x14ac:dyDescent="0.25">
      <c r="A56" s="15"/>
      <c r="B56" s="579" t="s">
        <v>381</v>
      </c>
      <c r="C56" s="580" t="s">
        <v>313</v>
      </c>
      <c r="D56" s="580" t="s">
        <v>1150</v>
      </c>
      <c r="E56" s="581" t="s">
        <v>1135</v>
      </c>
      <c r="F56" s="582" t="s">
        <v>1093</v>
      </c>
      <c r="G56" s="238">
        <v>0</v>
      </c>
      <c r="H56" s="239"/>
      <c r="I56" s="238">
        <f t="shared" si="16"/>
        <v>0</v>
      </c>
      <c r="J56" s="238">
        <v>0</v>
      </c>
      <c r="K56" s="239">
        <f t="shared" si="17"/>
        <v>0</v>
      </c>
      <c r="L56" s="238">
        <f t="shared" si="20"/>
        <v>0</v>
      </c>
      <c r="M56" s="238">
        <f t="shared" si="18"/>
        <v>0</v>
      </c>
      <c r="N56" s="238">
        <f t="shared" si="19"/>
        <v>0</v>
      </c>
      <c r="Q56" s="572"/>
      <c r="Z56" s="281" t="s">
        <v>1024</v>
      </c>
    </row>
    <row r="57" spans="1:26" ht="19.5" customHeight="1" x14ac:dyDescent="0.25">
      <c r="A57" s="15" t="s">
        <v>410</v>
      </c>
      <c r="B57" s="191" t="s">
        <v>23</v>
      </c>
      <c r="C57" s="244" t="s">
        <v>313</v>
      </c>
      <c r="D57" s="244" t="s">
        <v>1150</v>
      </c>
      <c r="E57" s="246" t="s">
        <v>1088</v>
      </c>
      <c r="F57" s="571" t="s">
        <v>1093</v>
      </c>
      <c r="G57" s="238">
        <v>7650</v>
      </c>
      <c r="H57" s="239">
        <v>7089</v>
      </c>
      <c r="I57" s="238">
        <f t="shared" si="16"/>
        <v>561</v>
      </c>
      <c r="J57" s="238">
        <v>6528</v>
      </c>
      <c r="K57" s="239">
        <f t="shared" si="17"/>
        <v>14178</v>
      </c>
      <c r="L57" s="238">
        <f t="shared" si="20"/>
        <v>14858.544</v>
      </c>
      <c r="M57" s="238">
        <f t="shared" si="18"/>
        <v>15512.319936</v>
      </c>
      <c r="N57" s="238">
        <f t="shared" si="19"/>
        <v>16210.374333119998</v>
      </c>
      <c r="Q57" s="572"/>
    </row>
    <row r="58" spans="1:26" ht="19.5" customHeight="1" x14ac:dyDescent="0.25">
      <c r="A58" s="15"/>
      <c r="B58" s="191" t="s">
        <v>50</v>
      </c>
      <c r="C58" s="244" t="s">
        <v>313</v>
      </c>
      <c r="D58" s="244" t="s">
        <v>1150</v>
      </c>
      <c r="E58" s="246" t="s">
        <v>1134</v>
      </c>
      <c r="F58" s="571" t="s">
        <v>1093</v>
      </c>
      <c r="G58" s="238">
        <v>2461</v>
      </c>
      <c r="H58" s="239">
        <v>2000</v>
      </c>
      <c r="I58" s="238">
        <f t="shared" si="16"/>
        <v>461</v>
      </c>
      <c r="J58" s="238">
        <v>2922</v>
      </c>
      <c r="K58" s="239">
        <f t="shared" si="17"/>
        <v>5383</v>
      </c>
      <c r="L58" s="238">
        <f t="shared" si="20"/>
        <v>5641.384</v>
      </c>
      <c r="M58" s="238">
        <f t="shared" si="18"/>
        <v>5889.6048959999998</v>
      </c>
      <c r="N58" s="238">
        <f t="shared" si="19"/>
        <v>6154.6371163199992</v>
      </c>
      <c r="Q58" s="572"/>
    </row>
    <row r="59" spans="1:26" ht="18.95" customHeight="1" x14ac:dyDescent="0.25">
      <c r="A59" s="15"/>
      <c r="B59" s="191" t="s">
        <v>62</v>
      </c>
      <c r="C59" s="244" t="s">
        <v>313</v>
      </c>
      <c r="D59" s="244" t="s">
        <v>1150</v>
      </c>
      <c r="E59" s="246" t="s">
        <v>1104</v>
      </c>
      <c r="F59" s="571" t="s">
        <v>1093</v>
      </c>
      <c r="G59" s="238">
        <v>32339</v>
      </c>
      <c r="H59" s="239">
        <v>19864.240000000002</v>
      </c>
      <c r="I59" s="238">
        <f t="shared" si="16"/>
        <v>12474.759999999998</v>
      </c>
      <c r="J59" s="238">
        <v>8000</v>
      </c>
      <c r="K59" s="239">
        <f t="shared" si="17"/>
        <v>40339</v>
      </c>
      <c r="L59" s="238">
        <f t="shared" si="20"/>
        <v>42275.272000000004</v>
      </c>
      <c r="M59" s="238">
        <f t="shared" si="18"/>
        <v>44135.383968000009</v>
      </c>
      <c r="N59" s="238">
        <f t="shared" si="19"/>
        <v>46121.476246560007</v>
      </c>
      <c r="Q59" s="572"/>
    </row>
    <row r="60" spans="1:26" ht="19.5" customHeight="1" x14ac:dyDescent="0.25">
      <c r="A60" s="15"/>
      <c r="B60" s="191" t="s">
        <v>7</v>
      </c>
      <c r="C60" s="244" t="s">
        <v>313</v>
      </c>
      <c r="D60" s="244" t="s">
        <v>1150</v>
      </c>
      <c r="E60" s="246" t="s">
        <v>1076</v>
      </c>
      <c r="F60" s="571" t="s">
        <v>1093</v>
      </c>
      <c r="G60" s="238">
        <v>5401</v>
      </c>
      <c r="H60" s="239">
        <v>6464.95</v>
      </c>
      <c r="I60" s="238">
        <f t="shared" si="16"/>
        <v>-1063.9499999999998</v>
      </c>
      <c r="J60" s="238">
        <v>7529</v>
      </c>
      <c r="K60" s="239">
        <f t="shared" si="17"/>
        <v>12930</v>
      </c>
      <c r="L60" s="238">
        <v>15000</v>
      </c>
      <c r="M60" s="238">
        <f t="shared" si="18"/>
        <v>15660</v>
      </c>
      <c r="N60" s="238">
        <f t="shared" si="19"/>
        <v>16364.699999999999</v>
      </c>
      <c r="Q60" s="572"/>
    </row>
    <row r="61" spans="1:26" ht="19.5" customHeight="1" x14ac:dyDescent="0.25">
      <c r="A61" s="15"/>
      <c r="B61" s="191" t="s">
        <v>961</v>
      </c>
      <c r="C61" s="244" t="s">
        <v>313</v>
      </c>
      <c r="D61" s="244" t="s">
        <v>1150</v>
      </c>
      <c r="E61" s="246" t="s">
        <v>1096</v>
      </c>
      <c r="F61" s="571" t="s">
        <v>1093</v>
      </c>
      <c r="G61" s="238">
        <v>0</v>
      </c>
      <c r="H61" s="239"/>
      <c r="I61" s="238">
        <f t="shared" si="16"/>
        <v>0</v>
      </c>
      <c r="J61" s="238">
        <v>0</v>
      </c>
      <c r="K61" s="239">
        <f t="shared" si="17"/>
        <v>0</v>
      </c>
      <c r="L61" s="238">
        <f>600000-200000</f>
        <v>400000</v>
      </c>
      <c r="M61" s="238">
        <v>500000</v>
      </c>
      <c r="N61" s="238">
        <v>400000</v>
      </c>
      <c r="Q61" s="572"/>
    </row>
    <row r="62" spans="1:26" ht="19.5" customHeight="1" x14ac:dyDescent="0.25">
      <c r="A62" s="15"/>
      <c r="B62" s="191" t="s">
        <v>1285</v>
      </c>
      <c r="C62" s="244"/>
      <c r="D62" s="244"/>
      <c r="E62" s="246"/>
      <c r="F62" s="571"/>
      <c r="G62" s="238">
        <v>0</v>
      </c>
      <c r="H62" s="239"/>
      <c r="I62" s="238">
        <f t="shared" si="16"/>
        <v>0</v>
      </c>
      <c r="J62" s="238"/>
      <c r="K62" s="239">
        <v>0</v>
      </c>
      <c r="L62" s="238">
        <v>50000</v>
      </c>
      <c r="M62" s="238">
        <v>0</v>
      </c>
      <c r="N62" s="238">
        <v>0</v>
      </c>
      <c r="Q62" s="572"/>
    </row>
    <row r="63" spans="1:26" s="281" customFormat="1" ht="19.5" customHeight="1" x14ac:dyDescent="0.25">
      <c r="A63" s="191"/>
      <c r="B63" s="191" t="s">
        <v>112</v>
      </c>
      <c r="C63" s="244" t="s">
        <v>313</v>
      </c>
      <c r="D63" s="244" t="s">
        <v>1150</v>
      </c>
      <c r="E63" s="246" t="s">
        <v>1124</v>
      </c>
      <c r="F63" s="571" t="s">
        <v>1093</v>
      </c>
      <c r="G63" s="238">
        <v>41560</v>
      </c>
      <c r="H63" s="239">
        <v>12862.5</v>
      </c>
      <c r="I63" s="238">
        <f t="shared" si="16"/>
        <v>28697.5</v>
      </c>
      <c r="J63" s="238">
        <v>0</v>
      </c>
      <c r="K63" s="239">
        <f t="shared" si="17"/>
        <v>41560</v>
      </c>
      <c r="L63" s="238">
        <f>K63*1.048-2980</f>
        <v>40574.880000000005</v>
      </c>
      <c r="M63" s="238">
        <f>L63*1.044</f>
        <v>42360.17472000001</v>
      </c>
      <c r="N63" s="238">
        <f>M63*1.045</f>
        <v>44266.382582400009</v>
      </c>
      <c r="Q63" s="578"/>
    </row>
    <row r="64" spans="1:26" ht="16.5" thickBot="1" x14ac:dyDescent="0.3">
      <c r="A64" s="484"/>
      <c r="B64" s="306" t="s">
        <v>585</v>
      </c>
      <c r="C64" s="583"/>
      <c r="D64" s="504"/>
      <c r="E64" s="504"/>
      <c r="F64" s="504"/>
      <c r="G64" s="468">
        <f t="shared" ref="G64:N64" si="21">SUM(G38:G63)</f>
        <v>6028005.0789000001</v>
      </c>
      <c r="H64" s="469">
        <f t="shared" si="21"/>
        <v>4462323.4000000004</v>
      </c>
      <c r="I64" s="469">
        <f t="shared" si="21"/>
        <v>1565681.6789000004</v>
      </c>
      <c r="J64" s="469">
        <f t="shared" si="21"/>
        <v>1774979</v>
      </c>
      <c r="K64" s="469">
        <f t="shared" si="21"/>
        <v>7802984.0789000001</v>
      </c>
      <c r="L64" s="470">
        <f t="shared" si="21"/>
        <v>8372298.0418871995</v>
      </c>
      <c r="M64" s="470">
        <f t="shared" si="21"/>
        <v>8116602.2685622368</v>
      </c>
      <c r="N64" s="470">
        <f t="shared" si="21"/>
        <v>8079650.8145475378</v>
      </c>
      <c r="Q64" s="572"/>
    </row>
    <row r="65" spans="1:21" x14ac:dyDescent="0.25">
      <c r="A65" s="446"/>
      <c r="G65" s="489"/>
      <c r="L65" s="418"/>
      <c r="M65" s="336"/>
      <c r="N65" s="336"/>
      <c r="Q65" s="572"/>
    </row>
    <row r="66" spans="1:21" hidden="1" x14ac:dyDescent="0.25">
      <c r="A66" s="240"/>
      <c r="G66" s="489"/>
      <c r="L66" s="418"/>
      <c r="M66" s="336"/>
      <c r="N66" s="336"/>
    </row>
    <row r="67" spans="1:21" ht="16.5" thickBot="1" x14ac:dyDescent="0.3">
      <c r="A67" s="240"/>
      <c r="B67" s="306" t="s">
        <v>586</v>
      </c>
      <c r="G67" s="584">
        <f t="shared" ref="G67:N67" si="22">G28+G64+G35</f>
        <v>17945824.968900003</v>
      </c>
      <c r="H67" s="506">
        <f t="shared" si="22"/>
        <v>9518010.4800000004</v>
      </c>
      <c r="I67" s="506">
        <f t="shared" si="22"/>
        <v>8427814.4889000002</v>
      </c>
      <c r="J67" s="506">
        <f t="shared" si="22"/>
        <v>3629496.8613400003</v>
      </c>
      <c r="K67" s="506">
        <f t="shared" si="22"/>
        <v>21575321.830239996</v>
      </c>
      <c r="L67" s="506">
        <f t="shared" si="22"/>
        <v>25823427.766607199</v>
      </c>
      <c r="M67" s="506">
        <f t="shared" si="22"/>
        <v>23032169.077169918</v>
      </c>
      <c r="N67" s="506">
        <f t="shared" si="22"/>
        <v>23595562.519542564</v>
      </c>
    </row>
    <row r="68" spans="1:21" x14ac:dyDescent="0.25">
      <c r="A68" s="240"/>
      <c r="G68" s="489"/>
      <c r="L68" s="418"/>
      <c r="M68" s="336"/>
      <c r="N68" s="336"/>
    </row>
    <row r="69" spans="1:21" x14ac:dyDescent="0.25">
      <c r="A69" s="240"/>
      <c r="B69" s="393" t="s">
        <v>1280</v>
      </c>
      <c r="G69" s="489"/>
      <c r="L69" s="418"/>
      <c r="M69" s="336"/>
      <c r="N69" s="336"/>
    </row>
    <row r="70" spans="1:21" ht="15.75" customHeight="1" x14ac:dyDescent="0.25">
      <c r="A70" s="15" t="s">
        <v>508</v>
      </c>
      <c r="B70" s="191" t="s">
        <v>509</v>
      </c>
      <c r="C70" s="438"/>
      <c r="D70" s="438"/>
      <c r="E70" s="585"/>
      <c r="F70" s="481"/>
      <c r="G70" s="341">
        <v>500000</v>
      </c>
      <c r="H70" s="341">
        <v>228996.38</v>
      </c>
      <c r="I70" s="341"/>
      <c r="J70" s="341"/>
      <c r="K70" s="341">
        <f>SUM(G70+J70)</f>
        <v>500000</v>
      </c>
      <c r="L70" s="344">
        <f>500000+300000</f>
        <v>800000</v>
      </c>
      <c r="M70" s="344">
        <v>0</v>
      </c>
      <c r="N70" s="344">
        <v>200000</v>
      </c>
    </row>
    <row r="71" spans="1:21" hidden="1" x14ac:dyDescent="0.25">
      <c r="A71" s="15" t="s">
        <v>125</v>
      </c>
      <c r="B71" s="15" t="s">
        <v>126</v>
      </c>
      <c r="C71" s="482"/>
      <c r="D71" s="482"/>
      <c r="E71" s="586"/>
      <c r="F71" s="484"/>
      <c r="G71" s="313">
        <v>0</v>
      </c>
      <c r="H71" s="313">
        <v>1500</v>
      </c>
      <c r="I71" s="313"/>
      <c r="J71" s="313"/>
      <c r="K71" s="313">
        <f t="shared" ref="K71:K72" si="23">SUM(G71+J71)</f>
        <v>0</v>
      </c>
      <c r="L71" s="238">
        <v>0</v>
      </c>
      <c r="M71" s="238">
        <v>0</v>
      </c>
      <c r="N71" s="238">
        <v>0</v>
      </c>
    </row>
    <row r="72" spans="1:21" hidden="1" x14ac:dyDescent="0.25">
      <c r="A72" s="15"/>
      <c r="B72" s="15" t="s">
        <v>844</v>
      </c>
      <c r="C72" s="131"/>
      <c r="D72" s="314"/>
      <c r="E72" s="587"/>
      <c r="F72" s="131"/>
      <c r="G72" s="347">
        <v>0</v>
      </c>
      <c r="H72" s="347"/>
      <c r="I72" s="347"/>
      <c r="J72" s="347"/>
      <c r="K72" s="347">
        <f t="shared" si="23"/>
        <v>0</v>
      </c>
      <c r="L72" s="348"/>
      <c r="M72" s="348">
        <v>0</v>
      </c>
      <c r="N72" s="348">
        <v>0</v>
      </c>
    </row>
    <row r="73" spans="1:21" x14ac:dyDescent="0.25">
      <c r="A73" s="240"/>
      <c r="B73" s="393" t="s">
        <v>1281</v>
      </c>
      <c r="C73" s="411"/>
      <c r="D73" s="411"/>
      <c r="E73" s="588"/>
      <c r="F73" s="415"/>
      <c r="G73" s="434">
        <f>SUM(G70:G72)</f>
        <v>500000</v>
      </c>
      <c r="H73" s="434">
        <f t="shared" ref="H73:U73" si="24">SUM(H70:H72)</f>
        <v>230496.38</v>
      </c>
      <c r="I73" s="434">
        <f t="shared" si="24"/>
        <v>0</v>
      </c>
      <c r="J73" s="434">
        <f t="shared" si="24"/>
        <v>0</v>
      </c>
      <c r="K73" s="434">
        <f t="shared" si="24"/>
        <v>500000</v>
      </c>
      <c r="L73" s="349">
        <f t="shared" si="24"/>
        <v>800000</v>
      </c>
      <c r="M73" s="414">
        <f t="shared" si="24"/>
        <v>0</v>
      </c>
      <c r="N73" s="414">
        <f t="shared" si="24"/>
        <v>200000</v>
      </c>
      <c r="O73" s="282">
        <f t="shared" si="24"/>
        <v>0</v>
      </c>
      <c r="P73" s="282">
        <f t="shared" si="24"/>
        <v>0</v>
      </c>
      <c r="Q73" s="282">
        <f t="shared" si="24"/>
        <v>0</v>
      </c>
      <c r="R73" s="282">
        <f t="shared" si="24"/>
        <v>0</v>
      </c>
      <c r="S73" s="282">
        <f t="shared" si="24"/>
        <v>0</v>
      </c>
      <c r="T73" s="282">
        <f t="shared" si="24"/>
        <v>0</v>
      </c>
      <c r="U73" s="282">
        <f t="shared" si="24"/>
        <v>0</v>
      </c>
    </row>
    <row r="74" spans="1:21" x14ac:dyDescent="0.25">
      <c r="A74" s="240"/>
      <c r="G74" s="489"/>
      <c r="L74" s="336"/>
      <c r="M74" s="336"/>
      <c r="N74" s="336"/>
    </row>
    <row r="75" spans="1:21" ht="16.5" thickBot="1" x14ac:dyDescent="0.3">
      <c r="A75" s="240"/>
      <c r="C75" s="504"/>
      <c r="D75" s="504"/>
      <c r="E75" s="504"/>
      <c r="F75" s="504"/>
      <c r="G75" s="584">
        <f t="shared" ref="G75:N75" si="25">G67+G73</f>
        <v>18445824.968900003</v>
      </c>
      <c r="H75" s="506">
        <f t="shared" si="25"/>
        <v>9748506.8600000013</v>
      </c>
      <c r="I75" s="506">
        <f t="shared" si="25"/>
        <v>8427814.4889000002</v>
      </c>
      <c r="J75" s="506">
        <f t="shared" si="25"/>
        <v>3629496.8613400003</v>
      </c>
      <c r="K75" s="506">
        <f t="shared" si="25"/>
        <v>22075321.830239996</v>
      </c>
      <c r="L75" s="506">
        <f t="shared" si="25"/>
        <v>26623427.766607199</v>
      </c>
      <c r="M75" s="506">
        <f t="shared" si="25"/>
        <v>23032169.077169918</v>
      </c>
      <c r="N75" s="506">
        <f t="shared" si="25"/>
        <v>23795562.519542564</v>
      </c>
    </row>
    <row r="76" spans="1:21" x14ac:dyDescent="0.25">
      <c r="A76" s="240"/>
      <c r="B76" s="306" t="s">
        <v>594</v>
      </c>
      <c r="G76" s="327"/>
      <c r="H76" s="335"/>
      <c r="I76" s="335"/>
      <c r="J76" s="335"/>
      <c r="K76" s="335"/>
      <c r="L76" s="335"/>
      <c r="M76" s="336"/>
      <c r="N76" s="336"/>
    </row>
    <row r="77" spans="1:21" hidden="1" x14ac:dyDescent="0.25">
      <c r="A77" s="240"/>
      <c r="B77" s="589" t="s">
        <v>530</v>
      </c>
      <c r="C77" s="590"/>
      <c r="D77" s="590"/>
      <c r="E77" s="590"/>
      <c r="F77" s="590"/>
      <c r="G77" s="591">
        <v>0</v>
      </c>
      <c r="H77" s="592"/>
      <c r="I77" s="592"/>
      <c r="J77" s="592"/>
      <c r="K77" s="592">
        <f>SUM(G77+J77)</f>
        <v>0</v>
      </c>
      <c r="L77" s="592"/>
      <c r="M77" s="592">
        <v>0</v>
      </c>
      <c r="N77" s="359">
        <v>0</v>
      </c>
    </row>
    <row r="78" spans="1:21" x14ac:dyDescent="0.25">
      <c r="A78" s="240"/>
      <c r="B78" s="242" t="s">
        <v>597</v>
      </c>
      <c r="C78" s="593"/>
      <c r="D78" s="593"/>
      <c r="E78" s="593"/>
      <c r="F78" s="593"/>
      <c r="G78" s="594">
        <v>-4260000</v>
      </c>
      <c r="H78" s="478">
        <v>0</v>
      </c>
      <c r="I78" s="478">
        <f>G78-H78</f>
        <v>-4260000</v>
      </c>
      <c r="J78" s="478">
        <v>0</v>
      </c>
      <c r="K78" s="478">
        <f>SUM(G78+J78)</f>
        <v>-4260000</v>
      </c>
      <c r="L78" s="478">
        <v>-4216000</v>
      </c>
      <c r="M78" s="358">
        <v>-3600000</v>
      </c>
      <c r="N78" s="326">
        <v>-3600000</v>
      </c>
    </row>
    <row r="79" spans="1:21" ht="16.5" thickBot="1" x14ac:dyDescent="0.3">
      <c r="A79" s="240"/>
      <c r="G79" s="595">
        <f t="shared" ref="G79:N79" si="26">SUM(G77:G78)</f>
        <v>-4260000</v>
      </c>
      <c r="H79" s="596">
        <f t="shared" si="26"/>
        <v>0</v>
      </c>
      <c r="I79" s="596">
        <f t="shared" si="26"/>
        <v>-4260000</v>
      </c>
      <c r="J79" s="596">
        <f t="shared" si="26"/>
        <v>0</v>
      </c>
      <c r="K79" s="596">
        <f t="shared" si="26"/>
        <v>-4260000</v>
      </c>
      <c r="L79" s="596">
        <f t="shared" si="26"/>
        <v>-4216000</v>
      </c>
      <c r="M79" s="596">
        <f t="shared" si="26"/>
        <v>-3600000</v>
      </c>
      <c r="N79" s="596">
        <f t="shared" si="26"/>
        <v>-3600000</v>
      </c>
    </row>
    <row r="80" spans="1:21" ht="16.5" thickTop="1" x14ac:dyDescent="0.25"/>
    <row r="94" spans="1:1" x14ac:dyDescent="0.25">
      <c r="A94" s="135" t="s">
        <v>1</v>
      </c>
    </row>
    <row r="95" spans="1:1" x14ac:dyDescent="0.25">
      <c r="A95" s="132" t="s">
        <v>2</v>
      </c>
    </row>
    <row r="96" spans="1:1" x14ac:dyDescent="0.25">
      <c r="A96" s="132" t="s">
        <v>124</v>
      </c>
    </row>
    <row r="97" spans="1:6" x14ac:dyDescent="0.25">
      <c r="A97" s="133" t="s">
        <v>125</v>
      </c>
      <c r="B97" s="15"/>
      <c r="C97" s="131"/>
      <c r="D97" s="131"/>
      <c r="E97" s="131"/>
      <c r="F97" s="131"/>
    </row>
    <row r="98" spans="1:6" x14ac:dyDescent="0.25">
      <c r="A98" s="132" t="s">
        <v>127</v>
      </c>
    </row>
    <row r="99" spans="1:6" x14ac:dyDescent="0.25">
      <c r="A99" s="132" t="s">
        <v>37</v>
      </c>
    </row>
    <row r="100" spans="1:6" x14ac:dyDescent="0.25">
      <c r="A100" s="135" t="s">
        <v>38</v>
      </c>
    </row>
  </sheetData>
  <sortState xmlns:xlrd2="http://schemas.microsoft.com/office/spreadsheetml/2017/richdata2" ref="B40:N63">
    <sortCondition ref="B38:B63"/>
  </sortState>
  <mergeCells count="1">
    <mergeCell ref="B1:N3"/>
  </mergeCells>
  <phoneticPr fontId="48" type="noConversion"/>
  <pageMargins left="0.7" right="0.7" top="0.75" bottom="0.75" header="0.3" footer="0.3"/>
  <pageSetup paperSize="9" scale="4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A0300-2AB1-42B5-88CD-8FE5EECE6343}">
  <sheetPr>
    <tabColor rgb="FF7030A0"/>
    <pageSetUpPr fitToPage="1"/>
  </sheetPr>
  <dimension ref="A1:AC51"/>
  <sheetViews>
    <sheetView topLeftCell="B14" zoomScale="80" zoomScaleNormal="80" zoomScaleSheetLayoutView="70" workbookViewId="0">
      <pane xSplit="1" topLeftCell="C1" activePane="topRight" state="frozen"/>
      <selection activeCell="B1" sqref="B1"/>
      <selection pane="topRight" activeCell="B37" sqref="B37"/>
    </sheetView>
  </sheetViews>
  <sheetFormatPr defaultColWidth="9.140625" defaultRowHeight="15.75" x14ac:dyDescent="0.25"/>
  <cols>
    <col min="1" max="1" width="54.140625" style="240" hidden="1" customWidth="1"/>
    <col min="2" max="2" width="44.5703125" style="240" customWidth="1"/>
    <col min="3" max="3" width="35.5703125" style="393" hidden="1" customWidth="1"/>
    <col min="4" max="4" width="17.5703125" style="393" hidden="1" customWidth="1"/>
    <col min="5" max="5" width="37.5703125" style="393" hidden="1" customWidth="1"/>
    <col min="6" max="6" width="17.5703125" style="393" hidden="1" customWidth="1"/>
    <col min="7" max="7" width="18.42578125" style="241" customWidth="1"/>
    <col min="8" max="9" width="18.42578125" style="241" hidden="1" customWidth="1"/>
    <col min="10" max="10" width="18.42578125" style="241" customWidth="1"/>
    <col min="11" max="11" width="15.5703125" style="241" customWidth="1"/>
    <col min="12" max="14" width="18.42578125" style="241" customWidth="1"/>
    <col min="15" max="15" width="0" style="240" hidden="1" customWidth="1"/>
    <col min="16" max="17" width="14.5703125" style="642" hidden="1" customWidth="1"/>
    <col min="18" max="29" width="9.140625" style="242"/>
    <col min="30" max="16384" width="9.140625" style="240"/>
  </cols>
  <sheetData>
    <row r="1" spans="1:16" ht="52.5" customHeight="1" x14ac:dyDescent="0.25">
      <c r="A1" s="507" t="s">
        <v>489</v>
      </c>
      <c r="B1" s="927" t="s">
        <v>1007</v>
      </c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927"/>
    </row>
    <row r="2" spans="1:16" ht="18.399999999999999" customHeight="1" x14ac:dyDescent="0.25">
      <c r="A2" s="128" t="s">
        <v>0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</row>
    <row r="3" spans="1:16" ht="18.399999999999999" customHeight="1" thickBot="1" x14ac:dyDescent="0.3">
      <c r="A3" s="126"/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</row>
    <row r="4" spans="1:16" ht="76.5" customHeight="1" thickBot="1" x14ac:dyDescent="0.3">
      <c r="A4" s="130" t="s">
        <v>2</v>
      </c>
      <c r="B4" s="300"/>
      <c r="C4" s="301" t="s">
        <v>1030</v>
      </c>
      <c r="D4" s="301" t="s">
        <v>1031</v>
      </c>
      <c r="E4" s="301" t="s">
        <v>306</v>
      </c>
      <c r="F4" s="301" t="s">
        <v>1032</v>
      </c>
      <c r="G4" s="214" t="s">
        <v>1028</v>
      </c>
      <c r="H4" s="214" t="s">
        <v>983</v>
      </c>
      <c r="I4" s="214" t="s">
        <v>1027</v>
      </c>
      <c r="J4" s="214" t="s">
        <v>631</v>
      </c>
      <c r="K4" s="304" t="s">
        <v>1274</v>
      </c>
      <c r="L4" s="304" t="s">
        <v>932</v>
      </c>
      <c r="M4" s="304" t="s">
        <v>996</v>
      </c>
      <c r="N4" s="215" t="s">
        <v>1296</v>
      </c>
    </row>
    <row r="5" spans="1:16" ht="76.5" hidden="1" customHeight="1" x14ac:dyDescent="0.25">
      <c r="A5" s="597"/>
      <c r="B5" s="598"/>
      <c r="C5" s="599"/>
      <c r="D5" s="599"/>
      <c r="E5" s="599"/>
      <c r="F5" s="600"/>
      <c r="G5" s="601"/>
      <c r="H5" s="602"/>
      <c r="I5" s="602"/>
      <c r="J5" s="602"/>
      <c r="K5" s="603"/>
      <c r="L5" s="604"/>
      <c r="M5" s="604"/>
      <c r="N5" s="605"/>
    </row>
    <row r="6" spans="1:16" ht="21.2" customHeight="1" x14ac:dyDescent="0.25">
      <c r="A6" s="597"/>
      <c r="B6" s="393" t="s">
        <v>548</v>
      </c>
      <c r="C6" s="441"/>
      <c r="D6" s="441"/>
      <c r="E6" s="441"/>
      <c r="F6" s="606"/>
      <c r="G6" s="607"/>
      <c r="H6" s="608"/>
      <c r="I6" s="608"/>
      <c r="J6" s="608"/>
      <c r="K6" s="609"/>
      <c r="L6" s="607"/>
      <c r="M6" s="607"/>
      <c r="N6" s="607"/>
    </row>
    <row r="7" spans="1:16" ht="20.25" customHeight="1" x14ac:dyDescent="0.25">
      <c r="A7" s="597"/>
      <c r="B7" s="393" t="s">
        <v>549</v>
      </c>
      <c r="C7" s="441"/>
      <c r="D7" s="441"/>
      <c r="E7" s="441"/>
      <c r="F7" s="606"/>
      <c r="G7" s="607"/>
      <c r="H7" s="608"/>
      <c r="I7" s="608"/>
      <c r="J7" s="608"/>
      <c r="K7" s="609"/>
      <c r="L7" s="607"/>
      <c r="M7" s="607"/>
      <c r="N7" s="607"/>
    </row>
    <row r="8" spans="1:16" x14ac:dyDescent="0.25">
      <c r="A8" s="15" t="s">
        <v>130</v>
      </c>
      <c r="B8" s="315" t="s">
        <v>11</v>
      </c>
      <c r="C8" s="314"/>
      <c r="D8" s="314"/>
      <c r="E8" s="375"/>
      <c r="F8" s="458"/>
      <c r="G8" s="313">
        <v>1700494</v>
      </c>
      <c r="H8" s="325">
        <v>604266.79</v>
      </c>
      <c r="I8" s="311">
        <f>SUM(G8-H8)</f>
        <v>1096227.21</v>
      </c>
      <c r="J8" s="311">
        <v>7175.5209199998062</v>
      </c>
      <c r="K8" s="312">
        <f>SUM(G8+J8)</f>
        <v>1707669.5209199998</v>
      </c>
      <c r="L8" s="238">
        <v>1722462</v>
      </c>
      <c r="M8" s="238">
        <v>1798250</v>
      </c>
      <c r="N8" s="238">
        <v>1879171</v>
      </c>
      <c r="O8" s="240">
        <v>1707669.5209199998</v>
      </c>
      <c r="P8" s="642">
        <f>O8-G8</f>
        <v>7175.5209199998062</v>
      </c>
    </row>
    <row r="9" spans="1:16" x14ac:dyDescent="0.25">
      <c r="A9" s="15" t="s">
        <v>136</v>
      </c>
      <c r="B9" s="315" t="s">
        <v>25</v>
      </c>
      <c r="C9" s="314"/>
      <c r="D9" s="314"/>
      <c r="E9" s="375"/>
      <c r="F9" s="458"/>
      <c r="G9" s="313">
        <v>9600</v>
      </c>
      <c r="H9" s="325">
        <v>9000</v>
      </c>
      <c r="I9" s="311">
        <f t="shared" ref="I9:I17" si="0">SUM(G9-H9)</f>
        <v>600</v>
      </c>
      <c r="J9" s="311">
        <v>8400</v>
      </c>
      <c r="K9" s="311">
        <f t="shared" ref="K9:K17" si="1">SUM(G9+J9)</f>
        <v>18000</v>
      </c>
      <c r="L9" s="325">
        <v>18000</v>
      </c>
      <c r="M9" s="238">
        <v>18000</v>
      </c>
      <c r="N9" s="238">
        <v>18000</v>
      </c>
      <c r="O9" s="240">
        <v>18000</v>
      </c>
      <c r="P9" s="642">
        <f t="shared" ref="P9:P24" si="2">O9-G9</f>
        <v>8400</v>
      </c>
    </row>
    <row r="10" spans="1:16" hidden="1" x14ac:dyDescent="0.25">
      <c r="A10" s="15" t="s">
        <v>449</v>
      </c>
      <c r="B10" s="610" t="s">
        <v>510</v>
      </c>
      <c r="C10" s="611"/>
      <c r="D10" s="611"/>
      <c r="E10" s="612"/>
      <c r="F10" s="613"/>
      <c r="G10" s="313"/>
      <c r="H10" s="325"/>
      <c r="I10" s="311">
        <f t="shared" si="0"/>
        <v>0</v>
      </c>
      <c r="J10" s="311">
        <v>0</v>
      </c>
      <c r="K10" s="311">
        <f t="shared" si="1"/>
        <v>0</v>
      </c>
      <c r="L10" s="325">
        <v>0</v>
      </c>
      <c r="M10" s="238">
        <v>0</v>
      </c>
      <c r="N10" s="238">
        <v>0</v>
      </c>
      <c r="P10" s="642">
        <f t="shared" si="2"/>
        <v>0</v>
      </c>
    </row>
    <row r="11" spans="1:16" ht="16.5" thickBot="1" x14ac:dyDescent="0.3">
      <c r="A11" s="15" t="s">
        <v>137</v>
      </c>
      <c r="B11" s="315" t="s">
        <v>27</v>
      </c>
      <c r="C11" s="314"/>
      <c r="D11" s="314"/>
      <c r="E11" s="375"/>
      <c r="F11" s="458"/>
      <c r="G11" s="313">
        <v>178008</v>
      </c>
      <c r="H11" s="325">
        <v>101041.9</v>
      </c>
      <c r="I11" s="311">
        <f t="shared" si="0"/>
        <v>76966.100000000006</v>
      </c>
      <c r="J11" s="311">
        <v>31728</v>
      </c>
      <c r="K11" s="311">
        <f t="shared" si="1"/>
        <v>209736</v>
      </c>
      <c r="L11" s="325">
        <v>209736</v>
      </c>
      <c r="M11" s="238">
        <v>209736</v>
      </c>
      <c r="N11" s="238">
        <v>209736</v>
      </c>
      <c r="O11" s="643">
        <v>209736</v>
      </c>
      <c r="P11" s="642">
        <f t="shared" si="2"/>
        <v>31728</v>
      </c>
    </row>
    <row r="12" spans="1:16" ht="16.5" thickTop="1" x14ac:dyDescent="0.25">
      <c r="A12" s="15" t="s">
        <v>138</v>
      </c>
      <c r="B12" s="315" t="s">
        <v>76</v>
      </c>
      <c r="C12" s="314"/>
      <c r="D12" s="314"/>
      <c r="E12" s="375"/>
      <c r="F12" s="458"/>
      <c r="G12" s="313">
        <v>23148</v>
      </c>
      <c r="H12" s="325">
        <v>5787.06</v>
      </c>
      <c r="I12" s="311">
        <f t="shared" si="0"/>
        <v>17360.939999999999</v>
      </c>
      <c r="J12" s="311">
        <v>-11573.880000000001</v>
      </c>
      <c r="K12" s="311">
        <f t="shared" si="1"/>
        <v>11574.119999999999</v>
      </c>
      <c r="L12" s="325">
        <v>11574</v>
      </c>
      <c r="M12" s="238">
        <v>11574</v>
      </c>
      <c r="N12" s="238">
        <v>11574</v>
      </c>
      <c r="O12" s="240">
        <v>11574.119999999999</v>
      </c>
      <c r="P12" s="642">
        <f t="shared" si="2"/>
        <v>-11573.880000000001</v>
      </c>
    </row>
    <row r="13" spans="1:16" hidden="1" x14ac:dyDescent="0.25">
      <c r="A13" s="15" t="s">
        <v>512</v>
      </c>
      <c r="B13" s="315" t="s">
        <v>513</v>
      </c>
      <c r="C13" s="314"/>
      <c r="D13" s="314"/>
      <c r="E13" s="375"/>
      <c r="F13" s="458"/>
      <c r="G13" s="313"/>
      <c r="H13" s="325"/>
      <c r="I13" s="311">
        <f t="shared" si="0"/>
        <v>0</v>
      </c>
      <c r="J13" s="311">
        <v>0</v>
      </c>
      <c r="K13" s="311">
        <f t="shared" si="1"/>
        <v>0</v>
      </c>
      <c r="L13" s="325">
        <v>0</v>
      </c>
      <c r="M13" s="238">
        <v>0</v>
      </c>
      <c r="N13" s="238">
        <v>0</v>
      </c>
      <c r="P13" s="642">
        <f t="shared" si="2"/>
        <v>0</v>
      </c>
    </row>
    <row r="14" spans="1:16" x14ac:dyDescent="0.25">
      <c r="A14" s="15" t="s">
        <v>139</v>
      </c>
      <c r="B14" s="315" t="s">
        <v>31</v>
      </c>
      <c r="C14" s="314"/>
      <c r="D14" s="314"/>
      <c r="E14" s="375"/>
      <c r="F14" s="458"/>
      <c r="G14" s="313">
        <v>141707.84</v>
      </c>
      <c r="H14" s="325">
        <v>58259.98</v>
      </c>
      <c r="I14" s="311">
        <f t="shared" si="0"/>
        <v>83447.859999999986</v>
      </c>
      <c r="J14" s="311">
        <v>597.95000000001164</v>
      </c>
      <c r="K14" s="311">
        <f t="shared" si="1"/>
        <v>142305.79</v>
      </c>
      <c r="L14" s="325">
        <v>143539</v>
      </c>
      <c r="M14" s="238">
        <v>149854</v>
      </c>
      <c r="N14" s="238">
        <v>156598</v>
      </c>
      <c r="O14" s="240">
        <v>142305.79</v>
      </c>
      <c r="P14" s="642">
        <f t="shared" si="2"/>
        <v>597.95000000001164</v>
      </c>
    </row>
    <row r="15" spans="1:16" x14ac:dyDescent="0.25">
      <c r="A15" s="15" t="s">
        <v>440</v>
      </c>
      <c r="B15" s="315" t="s">
        <v>123</v>
      </c>
      <c r="C15" s="314"/>
      <c r="D15" s="314"/>
      <c r="E15" s="375"/>
      <c r="F15" s="458"/>
      <c r="G15" s="313">
        <v>10842.82</v>
      </c>
      <c r="H15" s="325"/>
      <c r="I15" s="311">
        <f t="shared" si="0"/>
        <v>10842.82</v>
      </c>
      <c r="J15" s="311">
        <v>0</v>
      </c>
      <c r="K15" s="311">
        <f t="shared" si="1"/>
        <v>10842.82</v>
      </c>
      <c r="L15" s="325">
        <f>K15*1.048</f>
        <v>11363.27536</v>
      </c>
      <c r="M15" s="238">
        <f>L15*1.044</f>
        <v>11863.259475840001</v>
      </c>
      <c r="N15" s="238">
        <f>M15*1.045</f>
        <v>12397.1061522528</v>
      </c>
      <c r="P15" s="642">
        <f t="shared" si="2"/>
        <v>-10842.82</v>
      </c>
    </row>
    <row r="16" spans="1:16" x14ac:dyDescent="0.25">
      <c r="A16" s="15"/>
      <c r="B16" s="614" t="s">
        <v>545</v>
      </c>
      <c r="C16" s="615"/>
      <c r="D16" s="615"/>
      <c r="E16" s="616"/>
      <c r="F16" s="617"/>
      <c r="G16" s="313">
        <v>15064</v>
      </c>
      <c r="H16" s="325"/>
      <c r="I16" s="311">
        <f t="shared" si="0"/>
        <v>15064</v>
      </c>
      <c r="J16" s="311">
        <v>0</v>
      </c>
      <c r="K16" s="311">
        <f t="shared" si="1"/>
        <v>15064</v>
      </c>
      <c r="L16" s="325">
        <f>K16*1.0448</f>
        <v>15738.867199999999</v>
      </c>
      <c r="M16" s="238">
        <f>L16*1.044</f>
        <v>16431.3773568</v>
      </c>
      <c r="N16" s="238">
        <f>M16*1.045</f>
        <v>17170.789337856</v>
      </c>
      <c r="P16" s="642">
        <f t="shared" si="2"/>
        <v>-15064</v>
      </c>
    </row>
    <row r="17" spans="1:19" x14ac:dyDescent="0.25">
      <c r="A17" s="15" t="s">
        <v>511</v>
      </c>
      <c r="B17" s="315" t="s">
        <v>448</v>
      </c>
      <c r="C17" s="314"/>
      <c r="D17" s="314"/>
      <c r="E17" s="375"/>
      <c r="F17" s="458"/>
      <c r="G17" s="313">
        <v>0</v>
      </c>
      <c r="H17" s="325">
        <v>1848.26</v>
      </c>
      <c r="I17" s="311">
        <f t="shared" si="0"/>
        <v>-1848.26</v>
      </c>
      <c r="J17" s="311">
        <v>0</v>
      </c>
      <c r="K17" s="311">
        <f t="shared" si="1"/>
        <v>0</v>
      </c>
      <c r="L17" s="325">
        <v>7858</v>
      </c>
      <c r="M17" s="238">
        <f>L17*1.044</f>
        <v>8203.7520000000004</v>
      </c>
      <c r="N17" s="238">
        <f>M17*1.045</f>
        <v>8572.9208400000007</v>
      </c>
      <c r="P17" s="642">
        <f t="shared" si="2"/>
        <v>0</v>
      </c>
    </row>
    <row r="18" spans="1:19" x14ac:dyDescent="0.25">
      <c r="A18" s="131"/>
      <c r="B18" s="306" t="s">
        <v>552</v>
      </c>
      <c r="C18" s="411"/>
      <c r="D18" s="411"/>
      <c r="E18" s="412"/>
      <c r="F18" s="415"/>
      <c r="G18" s="618">
        <f t="shared" ref="G18:N18" si="3">SUM(G8:G17)</f>
        <v>2078864.6600000001</v>
      </c>
      <c r="H18" s="619">
        <f t="shared" si="3"/>
        <v>780203.99000000011</v>
      </c>
      <c r="I18" s="618">
        <f t="shared" si="3"/>
        <v>1298660.67</v>
      </c>
      <c r="J18" s="618">
        <f t="shared" si="3"/>
        <v>36327.590919999813</v>
      </c>
      <c r="K18" s="618">
        <f t="shared" si="3"/>
        <v>2115192.25092</v>
      </c>
      <c r="L18" s="619">
        <f t="shared" si="3"/>
        <v>2140271.1425600001</v>
      </c>
      <c r="M18" s="619">
        <f t="shared" si="3"/>
        <v>2223912.3888326394</v>
      </c>
      <c r="N18" s="619">
        <f t="shared" si="3"/>
        <v>2313219.8163301088</v>
      </c>
      <c r="P18" s="642">
        <f t="shared" si="2"/>
        <v>-2078864.6600000001</v>
      </c>
    </row>
    <row r="19" spans="1:19" x14ac:dyDescent="0.25">
      <c r="A19" s="131"/>
      <c r="B19" s="319"/>
      <c r="C19" s="378"/>
      <c r="D19" s="378"/>
      <c r="E19" s="378"/>
      <c r="F19" s="378"/>
      <c r="G19" s="489"/>
      <c r="H19" s="239"/>
      <c r="I19" s="312"/>
      <c r="J19" s="312"/>
      <c r="K19" s="312"/>
      <c r="L19" s="335"/>
      <c r="M19" s="239"/>
      <c r="N19" s="325"/>
      <c r="P19" s="642">
        <f t="shared" si="2"/>
        <v>0</v>
      </c>
    </row>
    <row r="20" spans="1:19" x14ac:dyDescent="0.25">
      <c r="A20" s="131"/>
      <c r="B20" s="306" t="s">
        <v>553</v>
      </c>
      <c r="C20" s="378"/>
      <c r="D20" s="378"/>
      <c r="E20" s="378"/>
      <c r="F20" s="378"/>
      <c r="G20" s="489"/>
      <c r="H20" s="239"/>
      <c r="I20" s="312"/>
      <c r="J20" s="312"/>
      <c r="K20" s="312"/>
      <c r="L20" s="335"/>
      <c r="M20" s="239"/>
      <c r="N20" s="325"/>
      <c r="P20" s="642">
        <f t="shared" si="2"/>
        <v>0</v>
      </c>
    </row>
    <row r="21" spans="1:19" x14ac:dyDescent="0.25">
      <c r="A21" s="15" t="s">
        <v>131</v>
      </c>
      <c r="B21" s="315" t="s">
        <v>13</v>
      </c>
      <c r="C21" s="305"/>
      <c r="D21" s="305"/>
      <c r="E21" s="419"/>
      <c r="F21" s="520"/>
      <c r="G21" s="341">
        <v>356</v>
      </c>
      <c r="H21" s="359">
        <v>122.4</v>
      </c>
      <c r="I21" s="339">
        <f>SUM(G21-H21)</f>
        <v>233.6</v>
      </c>
      <c r="J21" s="339">
        <v>14.800000000000011</v>
      </c>
      <c r="K21" s="339">
        <f>SUM(G21+J21)</f>
        <v>370.8</v>
      </c>
      <c r="L21" s="359">
        <v>371</v>
      </c>
      <c r="M21" s="344">
        <v>371</v>
      </c>
      <c r="N21" s="344">
        <v>371</v>
      </c>
      <c r="O21" s="240">
        <v>370.8</v>
      </c>
      <c r="P21" s="642">
        <f t="shared" si="2"/>
        <v>14.800000000000011</v>
      </c>
    </row>
    <row r="22" spans="1:19" x14ac:dyDescent="0.25">
      <c r="A22" s="15" t="s">
        <v>132</v>
      </c>
      <c r="B22" s="315" t="s">
        <v>15</v>
      </c>
      <c r="C22" s="314"/>
      <c r="D22" s="314"/>
      <c r="E22" s="375"/>
      <c r="F22" s="458"/>
      <c r="G22" s="313">
        <v>177794.93</v>
      </c>
      <c r="H22" s="325">
        <v>54957</v>
      </c>
      <c r="I22" s="311">
        <f t="shared" ref="I22:I24" si="4">SUM(G22-H22)</f>
        <v>122837.93</v>
      </c>
      <c r="J22" s="311">
        <v>-19522.97</v>
      </c>
      <c r="K22" s="311">
        <f t="shared" ref="K22:K24" si="5">SUM(G22+J22)</f>
        <v>158271.96</v>
      </c>
      <c r="L22" s="325">
        <v>158198</v>
      </c>
      <c r="M22" s="238">
        <v>174018</v>
      </c>
      <c r="N22" s="238">
        <v>191420</v>
      </c>
      <c r="O22" s="240">
        <v>158271.96</v>
      </c>
      <c r="P22" s="642">
        <f t="shared" si="2"/>
        <v>-19522.97</v>
      </c>
    </row>
    <row r="23" spans="1:19" x14ac:dyDescent="0.25">
      <c r="A23" s="15" t="s">
        <v>133</v>
      </c>
      <c r="B23" s="315" t="s">
        <v>17</v>
      </c>
      <c r="C23" s="314"/>
      <c r="D23" s="314"/>
      <c r="E23" s="375"/>
      <c r="F23" s="458"/>
      <c r="G23" s="313">
        <v>307279</v>
      </c>
      <c r="H23" s="325">
        <v>106278.9</v>
      </c>
      <c r="I23" s="311">
        <f t="shared" si="4"/>
        <v>201000.1</v>
      </c>
      <c r="J23" s="311">
        <v>971.72779999993509</v>
      </c>
      <c r="K23" s="311">
        <f t="shared" si="5"/>
        <v>308250.72779999994</v>
      </c>
      <c r="L23" s="325">
        <v>310921</v>
      </c>
      <c r="M23" s="238">
        <v>324601</v>
      </c>
      <c r="N23" s="238">
        <v>339208</v>
      </c>
      <c r="O23" s="240">
        <v>308250.72779999994</v>
      </c>
      <c r="P23" s="642">
        <f t="shared" si="2"/>
        <v>971.72779999993509</v>
      </c>
    </row>
    <row r="24" spans="1:19" x14ac:dyDescent="0.25">
      <c r="A24" s="15" t="s">
        <v>134</v>
      </c>
      <c r="B24" s="315" t="s">
        <v>19</v>
      </c>
      <c r="C24" s="314"/>
      <c r="D24" s="314"/>
      <c r="E24" s="375"/>
      <c r="F24" s="458"/>
      <c r="G24" s="347">
        <v>5354</v>
      </c>
      <c r="H24" s="326">
        <v>1784.64</v>
      </c>
      <c r="I24" s="345">
        <f t="shared" si="4"/>
        <v>3569.3599999999997</v>
      </c>
      <c r="J24" s="345">
        <v>0</v>
      </c>
      <c r="K24" s="345">
        <f t="shared" si="5"/>
        <v>5354</v>
      </c>
      <c r="L24" s="326">
        <v>5354</v>
      </c>
      <c r="M24" s="348">
        <v>5354</v>
      </c>
      <c r="N24" s="238">
        <v>5354</v>
      </c>
      <c r="O24" s="240">
        <v>5353.92</v>
      </c>
      <c r="P24" s="642">
        <f t="shared" si="2"/>
        <v>-7.999999999992724E-2</v>
      </c>
    </row>
    <row r="25" spans="1:19" x14ac:dyDescent="0.25">
      <c r="A25" s="15"/>
      <c r="B25" s="306" t="s">
        <v>554</v>
      </c>
      <c r="C25" s="328"/>
      <c r="D25" s="328"/>
      <c r="E25" s="561"/>
      <c r="F25" s="495"/>
      <c r="G25" s="620">
        <f t="shared" ref="G25:N25" si="6">SUM(G21:G24)</f>
        <v>490783.93</v>
      </c>
      <c r="H25" s="497">
        <f t="shared" si="6"/>
        <v>163142.94</v>
      </c>
      <c r="I25" s="496">
        <f t="shared" si="6"/>
        <v>327640.99</v>
      </c>
      <c r="J25" s="496"/>
      <c r="K25" s="496">
        <f t="shared" si="6"/>
        <v>472247.48779999989</v>
      </c>
      <c r="L25" s="497">
        <f t="shared" si="6"/>
        <v>474844</v>
      </c>
      <c r="M25" s="497">
        <f t="shared" si="6"/>
        <v>504344</v>
      </c>
      <c r="N25" s="497">
        <f t="shared" si="6"/>
        <v>536353</v>
      </c>
    </row>
    <row r="26" spans="1:19" x14ac:dyDescent="0.25">
      <c r="A26" s="15"/>
      <c r="B26" s="315"/>
      <c r="C26" s="328"/>
      <c r="D26" s="328"/>
      <c r="E26" s="561"/>
      <c r="F26" s="495"/>
      <c r="G26" s="417"/>
      <c r="H26" s="239"/>
      <c r="I26" s="312"/>
      <c r="J26" s="312"/>
      <c r="K26" s="312"/>
      <c r="L26" s="335"/>
      <c r="M26" s="239"/>
      <c r="N26" s="325"/>
    </row>
    <row r="27" spans="1:19" ht="16.5" thickBot="1" x14ac:dyDescent="0.3">
      <c r="A27" s="131"/>
      <c r="B27" s="306" t="s">
        <v>555</v>
      </c>
      <c r="C27" s="504"/>
      <c r="D27" s="504"/>
      <c r="E27" s="504"/>
      <c r="F27" s="504"/>
      <c r="G27" s="487">
        <f t="shared" ref="G27:N27" si="7">G18+G25</f>
        <v>2569648.5900000003</v>
      </c>
      <c r="H27" s="354">
        <f t="shared" si="7"/>
        <v>943346.93000000017</v>
      </c>
      <c r="I27" s="353">
        <f t="shared" si="7"/>
        <v>1626301.66</v>
      </c>
      <c r="J27" s="353">
        <f t="shared" si="7"/>
        <v>36327.590919999813</v>
      </c>
      <c r="K27" s="353">
        <f t="shared" si="7"/>
        <v>2587439.7387199998</v>
      </c>
      <c r="L27" s="354">
        <f t="shared" si="7"/>
        <v>2615115.1425600001</v>
      </c>
      <c r="M27" s="354">
        <f t="shared" si="7"/>
        <v>2728256.3888326394</v>
      </c>
      <c r="N27" s="521">
        <f t="shared" si="7"/>
        <v>2849572.8163301088</v>
      </c>
      <c r="R27" s="395"/>
      <c r="S27" s="396"/>
    </row>
    <row r="28" spans="1:19" x14ac:dyDescent="0.25">
      <c r="A28" s="131"/>
      <c r="B28" s="319"/>
      <c r="C28" s="378"/>
      <c r="D28" s="378"/>
      <c r="E28" s="378"/>
      <c r="F28" s="378"/>
      <c r="G28" s="489"/>
      <c r="H28" s="239"/>
      <c r="I28" s="312"/>
      <c r="J28" s="312"/>
      <c r="K28" s="312"/>
      <c r="L28" s="335"/>
      <c r="M28" s="239"/>
      <c r="N28" s="325"/>
    </row>
    <row r="29" spans="1:19" x14ac:dyDescent="0.25">
      <c r="A29" s="131"/>
      <c r="B29" s="307" t="s">
        <v>559</v>
      </c>
      <c r="C29" s="378"/>
      <c r="D29" s="378"/>
      <c r="E29" s="378"/>
      <c r="F29" s="378"/>
      <c r="G29" s="489"/>
      <c r="H29" s="239"/>
      <c r="I29" s="312"/>
      <c r="J29" s="312"/>
      <c r="K29" s="312"/>
      <c r="L29" s="335"/>
      <c r="M29" s="239"/>
      <c r="N29" s="325"/>
    </row>
    <row r="30" spans="1:19" hidden="1" x14ac:dyDescent="0.25">
      <c r="A30" s="16" t="s">
        <v>441</v>
      </c>
      <c r="B30" s="621" t="s">
        <v>317</v>
      </c>
      <c r="C30" s="493"/>
      <c r="D30" s="493"/>
      <c r="E30" s="493"/>
      <c r="F30" s="493"/>
      <c r="G30" s="435">
        <v>0</v>
      </c>
      <c r="H30" s="342"/>
      <c r="I30" s="340"/>
      <c r="J30" s="340"/>
      <c r="K30" s="340"/>
      <c r="L30" s="592"/>
      <c r="M30" s="359">
        <v>0</v>
      </c>
      <c r="N30" s="344"/>
    </row>
    <row r="31" spans="1:19" x14ac:dyDescent="0.25">
      <c r="A31" s="16" t="s">
        <v>442</v>
      </c>
      <c r="B31" s="621" t="s">
        <v>319</v>
      </c>
      <c r="C31" s="426"/>
      <c r="D31" s="426"/>
      <c r="E31" s="426"/>
      <c r="F31" s="426"/>
      <c r="G31" s="341">
        <v>448.93</v>
      </c>
      <c r="H31" s="359">
        <v>1939.54</v>
      </c>
      <c r="I31" s="339">
        <f>SUM(G31-H31)</f>
        <v>-1490.61</v>
      </c>
      <c r="J31" s="339">
        <v>1491</v>
      </c>
      <c r="K31" s="339">
        <f>SUM(G31+J31)</f>
        <v>1939.93</v>
      </c>
      <c r="L31" s="359">
        <f>K31*1.048</f>
        <v>2033.0466400000003</v>
      </c>
      <c r="M31" s="359">
        <f>L31*1.044</f>
        <v>2122.5006921600002</v>
      </c>
      <c r="N31" s="359">
        <f>M31*1.045</f>
        <v>2218.0132233072</v>
      </c>
    </row>
    <row r="32" spans="1:19" x14ac:dyDescent="0.25">
      <c r="A32" s="16" t="s">
        <v>443</v>
      </c>
      <c r="B32" s="621" t="s">
        <v>321</v>
      </c>
      <c r="C32" s="428"/>
      <c r="D32" s="428"/>
      <c r="E32" s="428"/>
      <c r="F32" s="428"/>
      <c r="G32" s="313">
        <v>0</v>
      </c>
      <c r="H32" s="325">
        <v>3724.52</v>
      </c>
      <c r="I32" s="311">
        <f t="shared" ref="I32:I33" si="8">SUM(G32-H32)</f>
        <v>-3724.52</v>
      </c>
      <c r="J32" s="311">
        <v>3725</v>
      </c>
      <c r="K32" s="311">
        <f t="shared" ref="K32:K33" si="9">SUM(G32+J32)</f>
        <v>3725</v>
      </c>
      <c r="L32" s="325">
        <f t="shared" ref="L32:L33" si="10">K32*1.048</f>
        <v>3903.8</v>
      </c>
      <c r="M32" s="325">
        <f t="shared" ref="M32:M33" si="11">L32*1.044</f>
        <v>4075.5672000000004</v>
      </c>
      <c r="N32" s="238">
        <f t="shared" ref="N32:N33" si="12">M32*1.045</f>
        <v>4258.9677240000001</v>
      </c>
    </row>
    <row r="33" spans="1:19" x14ac:dyDescent="0.25">
      <c r="A33" s="16"/>
      <c r="B33" s="622" t="s">
        <v>959</v>
      </c>
      <c r="C33" s="565"/>
      <c r="D33" s="565"/>
      <c r="E33" s="565"/>
      <c r="F33" s="565"/>
      <c r="G33" s="422">
        <v>0</v>
      </c>
      <c r="H33" s="326">
        <v>4462.59</v>
      </c>
      <c r="I33" s="423">
        <f t="shared" si="8"/>
        <v>-4462.59</v>
      </c>
      <c r="J33" s="423">
        <v>4463</v>
      </c>
      <c r="K33" s="423">
        <f t="shared" si="9"/>
        <v>4463</v>
      </c>
      <c r="L33" s="326">
        <f t="shared" si="10"/>
        <v>4677.2240000000002</v>
      </c>
      <c r="M33" s="326">
        <f t="shared" si="11"/>
        <v>4883.0218560000003</v>
      </c>
      <c r="N33" s="348">
        <f t="shared" si="12"/>
        <v>5102.7578395199998</v>
      </c>
    </row>
    <row r="34" spans="1:19" x14ac:dyDescent="0.25">
      <c r="B34" s="306" t="s">
        <v>566</v>
      </c>
      <c r="C34" s="411"/>
      <c r="D34" s="411"/>
      <c r="E34" s="411"/>
      <c r="F34" s="411"/>
      <c r="G34" s="562">
        <f t="shared" ref="G34:Q34" si="13">SUM(G30:G33)</f>
        <v>448.93</v>
      </c>
      <c r="H34" s="562">
        <f t="shared" si="13"/>
        <v>10126.65</v>
      </c>
      <c r="I34" s="562">
        <f t="shared" si="13"/>
        <v>-9677.7200000000012</v>
      </c>
      <c r="J34" s="562">
        <f t="shared" si="13"/>
        <v>9679</v>
      </c>
      <c r="K34" s="562">
        <f t="shared" si="13"/>
        <v>10127.93</v>
      </c>
      <c r="L34" s="563">
        <f t="shared" si="13"/>
        <v>10614.070640000002</v>
      </c>
      <c r="M34" s="563">
        <f t="shared" si="13"/>
        <v>11081.08974816</v>
      </c>
      <c r="N34" s="563">
        <f t="shared" si="13"/>
        <v>11579.7387868272</v>
      </c>
      <c r="O34" s="623">
        <f t="shared" si="13"/>
        <v>0</v>
      </c>
      <c r="P34" s="623">
        <f t="shared" si="13"/>
        <v>0</v>
      </c>
      <c r="Q34" s="623">
        <f t="shared" si="13"/>
        <v>0</v>
      </c>
    </row>
    <row r="35" spans="1:19" x14ac:dyDescent="0.25">
      <c r="B35" s="306"/>
      <c r="C35" s="378"/>
      <c r="D35" s="378"/>
      <c r="E35" s="378"/>
      <c r="F35" s="378"/>
      <c r="G35" s="624"/>
      <c r="H35" s="416"/>
      <c r="I35" s="416"/>
      <c r="J35" s="416"/>
      <c r="K35" s="416"/>
      <c r="L35" s="335"/>
      <c r="M35" s="335"/>
      <c r="N35" s="457"/>
      <c r="O35" s="625"/>
      <c r="P35" s="625"/>
      <c r="Q35" s="625"/>
    </row>
    <row r="36" spans="1:19" x14ac:dyDescent="0.25">
      <c r="A36" s="131"/>
      <c r="B36" s="626" t="s">
        <v>569</v>
      </c>
      <c r="C36" s="627"/>
      <c r="D36" s="627"/>
      <c r="E36" s="627"/>
      <c r="F36" s="627"/>
      <c r="G36" s="489"/>
      <c r="H36" s="239"/>
      <c r="I36" s="312"/>
      <c r="J36" s="312"/>
      <c r="K36" s="312"/>
      <c r="L36" s="335"/>
      <c r="M36" s="239"/>
      <c r="N36" s="325"/>
    </row>
    <row r="37" spans="1:19" s="242" customFormat="1" ht="19.7" customHeight="1" x14ac:dyDescent="0.25">
      <c r="A37" s="191" t="s">
        <v>445</v>
      </c>
      <c r="B37" s="243" t="s">
        <v>1256</v>
      </c>
      <c r="C37" s="438" t="s">
        <v>1126</v>
      </c>
      <c r="D37" s="628" t="s">
        <v>1057</v>
      </c>
      <c r="E37" s="629" t="s">
        <v>1106</v>
      </c>
      <c r="F37" s="439" t="s">
        <v>1093</v>
      </c>
      <c r="G37" s="630">
        <v>285000</v>
      </c>
      <c r="H37" s="343">
        <v>89000</v>
      </c>
      <c r="I37" s="630">
        <f>SUM(G37-H37)</f>
        <v>196000</v>
      </c>
      <c r="J37" s="631">
        <v>100000</v>
      </c>
      <c r="K37" s="359">
        <f>SUM(G37+J37)</f>
        <v>385000</v>
      </c>
      <c r="L37" s="359">
        <f>485000-200000-200000</f>
        <v>85000</v>
      </c>
      <c r="M37" s="359">
        <f>L37*1.044</f>
        <v>88740</v>
      </c>
      <c r="N37" s="359">
        <f>M37*1.045</f>
        <v>92733.299999999988</v>
      </c>
      <c r="O37" s="440"/>
      <c r="P37" s="207"/>
      <c r="Q37" s="207"/>
    </row>
    <row r="38" spans="1:19" s="242" customFormat="1" ht="19.5" hidden="1" customHeight="1" x14ac:dyDescent="0.25">
      <c r="A38" s="191"/>
      <c r="B38" s="632" t="s">
        <v>846</v>
      </c>
      <c r="C38" s="441" t="s">
        <v>1125</v>
      </c>
      <c r="D38" s="633" t="s">
        <v>1099</v>
      </c>
      <c r="E38" s="634" t="s">
        <v>1097</v>
      </c>
      <c r="F38" s="635" t="s">
        <v>1093</v>
      </c>
      <c r="G38" s="237">
        <v>0</v>
      </c>
      <c r="H38" s="237"/>
      <c r="I38" s="237"/>
      <c r="J38" s="238"/>
      <c r="K38" s="325"/>
      <c r="L38" s="325">
        <f>250000-200000-50000</f>
        <v>0</v>
      </c>
      <c r="M38" s="325">
        <v>0</v>
      </c>
      <c r="N38" s="325">
        <v>0</v>
      </c>
      <c r="O38" s="440"/>
      <c r="P38" s="207"/>
      <c r="Q38" s="207"/>
    </row>
    <row r="39" spans="1:19" s="242" customFormat="1" ht="20.45" hidden="1" customHeight="1" x14ac:dyDescent="0.25">
      <c r="A39" s="191" t="s">
        <v>841</v>
      </c>
      <c r="B39" s="243" t="s">
        <v>936</v>
      </c>
      <c r="C39" s="244" t="s">
        <v>1126</v>
      </c>
      <c r="D39" s="376" t="s">
        <v>1057</v>
      </c>
      <c r="E39" s="571" t="s">
        <v>1105</v>
      </c>
      <c r="F39" s="245" t="s">
        <v>1093</v>
      </c>
      <c r="G39" s="489"/>
      <c r="H39" s="237"/>
      <c r="I39" s="489">
        <f>SUM(G39-H39)</f>
        <v>0</v>
      </c>
      <c r="J39" s="313">
        <v>0</v>
      </c>
      <c r="K39" s="311">
        <f>SUM(G39+J39)</f>
        <v>0</v>
      </c>
      <c r="L39" s="325">
        <f>K39*1.048</f>
        <v>0</v>
      </c>
      <c r="M39" s="325">
        <f>L39*1.044</f>
        <v>0</v>
      </c>
      <c r="N39" s="325">
        <f>M39*1.045</f>
        <v>0</v>
      </c>
      <c r="O39" s="440"/>
      <c r="P39" s="207"/>
      <c r="Q39" s="207"/>
    </row>
    <row r="40" spans="1:19" s="242" customFormat="1" ht="19.7" customHeight="1" x14ac:dyDescent="0.25">
      <c r="A40" s="191" t="s">
        <v>128</v>
      </c>
      <c r="B40" s="243" t="s">
        <v>926</v>
      </c>
      <c r="C40" s="244" t="s">
        <v>1126</v>
      </c>
      <c r="D40" s="376" t="s">
        <v>1057</v>
      </c>
      <c r="E40" s="636" t="s">
        <v>1105</v>
      </c>
      <c r="F40" s="571" t="s">
        <v>1093</v>
      </c>
      <c r="G40" s="237">
        <v>100000</v>
      </c>
      <c r="H40" s="237">
        <v>62037.83</v>
      </c>
      <c r="I40" s="237">
        <f>SUM(G40-H40)</f>
        <v>37962.17</v>
      </c>
      <c r="J40" s="238">
        <v>50000</v>
      </c>
      <c r="K40" s="325">
        <f>SUM(G40+J40)</f>
        <v>150000</v>
      </c>
      <c r="L40" s="325">
        <f>K40*1.048-95000</f>
        <v>62200</v>
      </c>
      <c r="M40" s="325">
        <f>L40*1.044</f>
        <v>64936.800000000003</v>
      </c>
      <c r="N40" s="325">
        <f>M40*1.045</f>
        <v>67858.956000000006</v>
      </c>
      <c r="P40" s="207"/>
      <c r="Q40" s="207"/>
    </row>
    <row r="41" spans="1:19" s="242" customFormat="1" ht="19.7" hidden="1" customHeight="1" x14ac:dyDescent="0.25">
      <c r="A41" s="191" t="s">
        <v>129</v>
      </c>
      <c r="B41" s="632" t="s">
        <v>935</v>
      </c>
      <c r="C41" s="441" t="s">
        <v>1125</v>
      </c>
      <c r="D41" s="633" t="s">
        <v>1099</v>
      </c>
      <c r="E41" s="637" t="s">
        <v>1097</v>
      </c>
      <c r="F41" s="634" t="s">
        <v>1093</v>
      </c>
      <c r="G41" s="237">
        <v>0</v>
      </c>
      <c r="H41" s="237"/>
      <c r="I41" s="237"/>
      <c r="J41" s="238"/>
      <c r="K41" s="325"/>
      <c r="L41" s="325">
        <v>0</v>
      </c>
      <c r="M41" s="325">
        <v>0</v>
      </c>
      <c r="N41" s="325">
        <v>0</v>
      </c>
      <c r="P41" s="207"/>
      <c r="Q41" s="207"/>
    </row>
    <row r="42" spans="1:19" s="242" customFormat="1" ht="19.5" hidden="1" customHeight="1" x14ac:dyDescent="0.25">
      <c r="A42" s="191" t="s">
        <v>135</v>
      </c>
      <c r="B42" s="243" t="s">
        <v>995</v>
      </c>
      <c r="C42" s="244" t="s">
        <v>313</v>
      </c>
      <c r="D42" s="376" t="s">
        <v>1057</v>
      </c>
      <c r="E42" s="636" t="s">
        <v>1127</v>
      </c>
      <c r="F42" s="571" t="s">
        <v>1093</v>
      </c>
      <c r="G42" s="638">
        <v>0</v>
      </c>
      <c r="H42" s="237"/>
      <c r="I42" s="638">
        <f>SUM(G42-H42)</f>
        <v>0</v>
      </c>
      <c r="J42" s="464">
        <v>0</v>
      </c>
      <c r="K42" s="465">
        <f>SUM(G42+J42)</f>
        <v>0</v>
      </c>
      <c r="L42" s="325">
        <f>25000-25000</f>
        <v>0</v>
      </c>
      <c r="M42" s="325">
        <f>L42*1.044</f>
        <v>0</v>
      </c>
      <c r="N42" s="325">
        <f>M42*1.045</f>
        <v>0</v>
      </c>
      <c r="P42" s="207"/>
      <c r="Q42" s="207"/>
    </row>
    <row r="43" spans="1:19" s="242" customFormat="1" ht="19.7" hidden="1" customHeight="1" x14ac:dyDescent="0.25">
      <c r="A43" s="191" t="s">
        <v>446</v>
      </c>
      <c r="B43" s="632" t="s">
        <v>444</v>
      </c>
      <c r="C43" s="441" t="s">
        <v>313</v>
      </c>
      <c r="D43" s="633" t="s">
        <v>1099</v>
      </c>
      <c r="E43" s="637" t="s">
        <v>1122</v>
      </c>
      <c r="F43" s="634" t="s">
        <v>1093</v>
      </c>
      <c r="G43" s="237">
        <v>0</v>
      </c>
      <c r="H43" s="237"/>
      <c r="I43" s="237"/>
      <c r="J43" s="238"/>
      <c r="K43" s="325"/>
      <c r="L43" s="325">
        <v>0</v>
      </c>
      <c r="M43" s="325">
        <v>0</v>
      </c>
      <c r="N43" s="325">
        <v>0</v>
      </c>
      <c r="P43" s="207"/>
      <c r="Q43" s="207"/>
    </row>
    <row r="44" spans="1:19" ht="18.95" customHeight="1" x14ac:dyDescent="0.25">
      <c r="A44" s="15" t="s">
        <v>447</v>
      </c>
      <c r="B44" s="243" t="s">
        <v>5</v>
      </c>
      <c r="C44" s="244" t="s">
        <v>313</v>
      </c>
      <c r="D44" s="376" t="s">
        <v>1047</v>
      </c>
      <c r="E44" s="636" t="s">
        <v>1096</v>
      </c>
      <c r="F44" s="571" t="s">
        <v>1093</v>
      </c>
      <c r="G44" s="237">
        <f>G27*1/100</f>
        <v>25696.485900000003</v>
      </c>
      <c r="H44" s="237">
        <v>7689.92</v>
      </c>
      <c r="I44" s="237">
        <f>SUM(G44-H44)</f>
        <v>18006.565900000001</v>
      </c>
      <c r="J44" s="238">
        <v>0</v>
      </c>
      <c r="K44" s="325">
        <f>SUM(G44+J44)</f>
        <v>25696.485900000003</v>
      </c>
      <c r="L44" s="325">
        <f>L27*1/100</f>
        <v>26151.151425600001</v>
      </c>
      <c r="M44" s="325">
        <f t="shared" ref="M44:N44" si="14">M27*1/100</f>
        <v>27282.563888326393</v>
      </c>
      <c r="N44" s="325">
        <f t="shared" si="14"/>
        <v>28495.728163301086</v>
      </c>
    </row>
    <row r="45" spans="1:19" ht="19.7" customHeight="1" x14ac:dyDescent="0.25">
      <c r="A45" s="15"/>
      <c r="B45" s="243" t="s">
        <v>21</v>
      </c>
      <c r="C45" s="244" t="s">
        <v>313</v>
      </c>
      <c r="D45" s="376" t="s">
        <v>1057</v>
      </c>
      <c r="E45" s="636" t="s">
        <v>1101</v>
      </c>
      <c r="F45" s="571" t="s">
        <v>1093</v>
      </c>
      <c r="G45" s="237">
        <v>8920</v>
      </c>
      <c r="H45" s="237">
        <v>0</v>
      </c>
      <c r="I45" s="237">
        <f>SUM(G45-H45)</f>
        <v>8920</v>
      </c>
      <c r="J45" s="238">
        <v>30000</v>
      </c>
      <c r="K45" s="325">
        <f>SUM(G45+J45)</f>
        <v>38920</v>
      </c>
      <c r="L45" s="325">
        <f>K45*1.048-1500</f>
        <v>39288.160000000003</v>
      </c>
      <c r="M45" s="325">
        <f>L45*1.044</f>
        <v>41016.839040000006</v>
      </c>
      <c r="N45" s="325">
        <f>M45*1.045</f>
        <v>42862.596796800004</v>
      </c>
    </row>
    <row r="46" spans="1:19" ht="20.45" customHeight="1" x14ac:dyDescent="0.25">
      <c r="A46" s="15"/>
      <c r="B46" s="243" t="s">
        <v>23</v>
      </c>
      <c r="C46" s="244" t="s">
        <v>313</v>
      </c>
      <c r="D46" s="376" t="s">
        <v>1057</v>
      </c>
      <c r="E46" s="636" t="s">
        <v>1088</v>
      </c>
      <c r="F46" s="571" t="s">
        <v>1093</v>
      </c>
      <c r="G46" s="237">
        <v>2399</v>
      </c>
      <c r="H46" s="237">
        <v>787</v>
      </c>
      <c r="I46" s="237">
        <f>SUM(G46-H46)</f>
        <v>1612</v>
      </c>
      <c r="J46" s="238">
        <v>900</v>
      </c>
      <c r="K46" s="239">
        <f>SUM(G46+J46)</f>
        <v>3299</v>
      </c>
      <c r="L46" s="238">
        <v>3700</v>
      </c>
      <c r="M46" s="325">
        <f>L46*1.044</f>
        <v>3862.8</v>
      </c>
      <c r="N46" s="325">
        <f>M46*1.045</f>
        <v>4036.6259999999997</v>
      </c>
    </row>
    <row r="47" spans="1:19" ht="18.95" customHeight="1" x14ac:dyDescent="0.25">
      <c r="A47" s="15"/>
      <c r="B47" s="243" t="s">
        <v>62</v>
      </c>
      <c r="C47" s="244" t="s">
        <v>313</v>
      </c>
      <c r="D47" s="244" t="s">
        <v>1057</v>
      </c>
      <c r="E47" s="245" t="s">
        <v>1104</v>
      </c>
      <c r="F47" s="245" t="s">
        <v>1093</v>
      </c>
      <c r="G47" s="237">
        <v>6026.2</v>
      </c>
      <c r="H47" s="238">
        <v>4539.42</v>
      </c>
      <c r="I47" s="239">
        <f>SUM(G47-H47)</f>
        <v>1486.7799999999997</v>
      </c>
      <c r="J47" s="238">
        <v>6000</v>
      </c>
      <c r="K47" s="239">
        <f>SUM(G47+J47)</f>
        <v>12026.2</v>
      </c>
      <c r="L47" s="238">
        <f>K47*1.048</f>
        <v>12603.457600000002</v>
      </c>
      <c r="M47" s="325">
        <f>L47*1.044</f>
        <v>13158.009734400002</v>
      </c>
      <c r="N47" s="325">
        <f>M47*1.045</f>
        <v>13750.120172448002</v>
      </c>
      <c r="S47" s="395"/>
    </row>
    <row r="48" spans="1:19" s="242" customFormat="1" ht="21" customHeight="1" x14ac:dyDescent="0.25">
      <c r="A48" s="191"/>
      <c r="B48" s="243" t="s">
        <v>7</v>
      </c>
      <c r="C48" s="244" t="s">
        <v>313</v>
      </c>
      <c r="D48" s="244" t="s">
        <v>1057</v>
      </c>
      <c r="E48" s="245" t="s">
        <v>1076</v>
      </c>
      <c r="F48" s="245" t="s">
        <v>1093</v>
      </c>
      <c r="G48" s="237">
        <v>0</v>
      </c>
      <c r="H48" s="238">
        <v>1451.74</v>
      </c>
      <c r="I48" s="239">
        <f>SUM(G48-H48)</f>
        <v>-1451.74</v>
      </c>
      <c r="J48" s="238">
        <v>3000</v>
      </c>
      <c r="K48" s="239">
        <f>SUM(G48+J48)</f>
        <v>3000</v>
      </c>
      <c r="L48" s="348">
        <f>K48*1.048</f>
        <v>3144</v>
      </c>
      <c r="M48" s="325">
        <f>L48*1.044</f>
        <v>3282.3360000000002</v>
      </c>
      <c r="N48" s="325">
        <f>M48*1.045</f>
        <v>3430.0411199999999</v>
      </c>
      <c r="P48" s="207"/>
      <c r="Q48" s="207"/>
    </row>
    <row r="49" spans="1:17" ht="15.75" customHeight="1" x14ac:dyDescent="0.25">
      <c r="A49" s="131"/>
      <c r="B49" s="306" t="s">
        <v>585</v>
      </c>
      <c r="C49" s="639"/>
      <c r="D49" s="433"/>
      <c r="E49" s="433"/>
      <c r="F49" s="433"/>
      <c r="G49" s="434">
        <f t="shared" ref="G49:N49" si="15">SUM(G37:G48)</f>
        <v>428041.68590000004</v>
      </c>
      <c r="H49" s="434">
        <f t="shared" si="15"/>
        <v>165505.91000000003</v>
      </c>
      <c r="I49" s="434">
        <f t="shared" si="15"/>
        <v>262535.77590000001</v>
      </c>
      <c r="J49" s="434">
        <f t="shared" si="15"/>
        <v>189900</v>
      </c>
      <c r="K49" s="434">
        <f t="shared" si="15"/>
        <v>617941.68589999992</v>
      </c>
      <c r="L49" s="349">
        <f t="shared" si="15"/>
        <v>232086.76902559999</v>
      </c>
      <c r="M49" s="349">
        <f t="shared" si="15"/>
        <v>242279.34866272638</v>
      </c>
      <c r="N49" s="349">
        <f t="shared" si="15"/>
        <v>253167.36825254906</v>
      </c>
    </row>
    <row r="50" spans="1:17" x14ac:dyDescent="0.25">
      <c r="A50" s="131"/>
      <c r="G50" s="489"/>
      <c r="H50" s="312"/>
      <c r="I50" s="312"/>
      <c r="J50" s="312"/>
      <c r="K50" s="312"/>
      <c r="L50" s="335"/>
      <c r="M50" s="239"/>
      <c r="N50" s="325"/>
    </row>
    <row r="51" spans="1:17" ht="16.5" thickBot="1" x14ac:dyDescent="0.3">
      <c r="A51" s="446"/>
      <c r="B51" s="306" t="s">
        <v>586</v>
      </c>
      <c r="C51" s="504"/>
      <c r="D51" s="504"/>
      <c r="E51" s="504"/>
      <c r="F51" s="504"/>
      <c r="G51" s="640">
        <f t="shared" ref="G51:Q51" si="16">G27+G34+G49</f>
        <v>2998139.2059000004</v>
      </c>
      <c r="H51" s="641">
        <f t="shared" si="16"/>
        <v>1118979.4900000002</v>
      </c>
      <c r="I51" s="641">
        <f t="shared" si="16"/>
        <v>1879159.7159</v>
      </c>
      <c r="J51" s="641">
        <f t="shared" si="16"/>
        <v>235906.59091999981</v>
      </c>
      <c r="K51" s="641">
        <f t="shared" si="16"/>
        <v>3215509.3546199999</v>
      </c>
      <c r="L51" s="641">
        <f t="shared" si="16"/>
        <v>2857815.9822256002</v>
      </c>
      <c r="M51" s="641">
        <f t="shared" si="16"/>
        <v>2981616.827243526</v>
      </c>
      <c r="N51" s="641">
        <f t="shared" si="16"/>
        <v>3114319.923369485</v>
      </c>
      <c r="O51" s="641">
        <f t="shared" si="16"/>
        <v>0</v>
      </c>
      <c r="P51" s="641">
        <f t="shared" si="16"/>
        <v>0</v>
      </c>
      <c r="Q51" s="641">
        <f t="shared" si="16"/>
        <v>0</v>
      </c>
    </row>
  </sheetData>
  <sortState xmlns:xlrd2="http://schemas.microsoft.com/office/spreadsheetml/2017/richdata2" ref="B37:N48">
    <sortCondition ref="B37:B48"/>
  </sortState>
  <mergeCells count="1">
    <mergeCell ref="B1:N3"/>
  </mergeCells>
  <phoneticPr fontId="48" type="noConversion"/>
  <pageMargins left="0.7" right="0.7" top="0.75" bottom="0.75" header="0.3" footer="0.3"/>
  <pageSetup paperSize="9" scale="3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FF2B6-5426-49C5-9083-BB3CE63DEFB2}">
  <sheetPr>
    <tabColor rgb="FF7030A0"/>
    <pageSetUpPr fitToPage="1"/>
  </sheetPr>
  <dimension ref="A1:QM75"/>
  <sheetViews>
    <sheetView topLeftCell="B57" zoomScale="80" zoomScaleNormal="80" workbookViewId="0">
      <pane xSplit="1" topLeftCell="C1" activePane="topRight" state="frozen"/>
      <selection activeCell="B4" sqref="B4"/>
      <selection pane="topRight" activeCell="O75" sqref="O75"/>
    </sheetView>
  </sheetViews>
  <sheetFormatPr defaultColWidth="9.140625" defaultRowHeight="15.75" x14ac:dyDescent="0.25"/>
  <cols>
    <col min="1" max="1" width="56.5703125" style="17" hidden="1" customWidth="1"/>
    <col min="2" max="2" width="46.42578125" style="17" customWidth="1"/>
    <col min="3" max="3" width="26.28515625" style="554" hidden="1" customWidth="1"/>
    <col min="4" max="4" width="17.5703125" style="553" hidden="1" customWidth="1"/>
    <col min="5" max="5" width="42" style="553" hidden="1" customWidth="1"/>
    <col min="6" max="6" width="17.5703125" style="554" hidden="1" customWidth="1"/>
    <col min="7" max="7" width="16.5703125" style="241" customWidth="1"/>
    <col min="8" max="10" width="16.5703125" style="241" hidden="1" customWidth="1"/>
    <col min="11" max="13" width="16.5703125" style="241" customWidth="1"/>
    <col min="14" max="14" width="18" style="508" customWidth="1"/>
    <col min="15" max="15" width="9.140625" style="644" customWidth="1"/>
    <col min="16" max="17" width="9.140625" style="645" customWidth="1"/>
    <col min="18" max="18" width="12.42578125" style="646" customWidth="1"/>
    <col min="19" max="19" width="9.140625" style="645" customWidth="1"/>
    <col min="20" max="20" width="12.42578125" style="645" bestFit="1" customWidth="1"/>
    <col min="21" max="24" width="9.140625" style="647"/>
    <col min="25" max="455" width="9.140625" style="509"/>
    <col min="456" max="16384" width="9.140625" style="17"/>
  </cols>
  <sheetData>
    <row r="1" spans="1:14" ht="53.25" customHeight="1" thickBot="1" x14ac:dyDescent="0.3">
      <c r="A1" s="507" t="s">
        <v>307</v>
      </c>
      <c r="B1" s="927" t="s">
        <v>1006</v>
      </c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927"/>
    </row>
    <row r="2" spans="1:14" ht="11.25" hidden="1" customHeight="1" thickBot="1" x14ac:dyDescent="0.3">
      <c r="A2" s="128" t="s">
        <v>0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</row>
    <row r="3" spans="1:14" ht="17.25" hidden="1" customHeight="1" thickBot="1" x14ac:dyDescent="0.3">
      <c r="A3" s="126"/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</row>
    <row r="4" spans="1:14" ht="17.25" hidden="1" customHeight="1" thickBot="1" x14ac:dyDescent="0.3">
      <c r="A4" s="129" t="s">
        <v>1</v>
      </c>
      <c r="B4" s="928"/>
      <c r="C4" s="928"/>
      <c r="D4" s="928"/>
      <c r="E4" s="928"/>
      <c r="F4" s="928"/>
      <c r="G4" s="928"/>
      <c r="H4" s="928"/>
      <c r="I4" s="928"/>
      <c r="J4" s="928"/>
      <c r="K4" s="928"/>
      <c r="L4" s="928"/>
      <c r="M4" s="928"/>
      <c r="N4" s="928"/>
    </row>
    <row r="5" spans="1:14" ht="48" thickBot="1" x14ac:dyDescent="0.3">
      <c r="A5" s="130" t="s">
        <v>2</v>
      </c>
      <c r="B5" s="300"/>
      <c r="C5" s="302" t="s">
        <v>1030</v>
      </c>
      <c r="D5" s="301" t="s">
        <v>1031</v>
      </c>
      <c r="E5" s="301" t="s">
        <v>306</v>
      </c>
      <c r="F5" s="302" t="s">
        <v>1032</v>
      </c>
      <c r="G5" s="214" t="s">
        <v>1028</v>
      </c>
      <c r="H5" s="214" t="s">
        <v>983</v>
      </c>
      <c r="I5" s="214" t="s">
        <v>1027</v>
      </c>
      <c r="J5" s="214" t="s">
        <v>631</v>
      </c>
      <c r="K5" s="214" t="s">
        <v>1274</v>
      </c>
      <c r="L5" s="304" t="s">
        <v>932</v>
      </c>
      <c r="M5" s="304" t="s">
        <v>996</v>
      </c>
      <c r="N5" s="215" t="s">
        <v>1296</v>
      </c>
    </row>
    <row r="6" spans="1:14" x14ac:dyDescent="0.25">
      <c r="A6" s="131"/>
      <c r="B6" s="393" t="s">
        <v>548</v>
      </c>
      <c r="C6" s="308"/>
      <c r="D6" s="307"/>
      <c r="E6" s="374"/>
      <c r="F6" s="384"/>
      <c r="G6" s="311"/>
      <c r="H6" s="489"/>
      <c r="I6" s="313"/>
      <c r="J6" s="311"/>
      <c r="K6" s="312"/>
      <c r="L6" s="648"/>
      <c r="M6" s="513"/>
      <c r="N6" s="649"/>
    </row>
    <row r="7" spans="1:14" x14ac:dyDescent="0.25">
      <c r="A7" s="131"/>
      <c r="B7" s="393" t="s">
        <v>549</v>
      </c>
      <c r="C7" s="308"/>
      <c r="D7" s="307"/>
      <c r="E7" s="374"/>
      <c r="F7" s="384"/>
      <c r="G7" s="311"/>
      <c r="H7" s="489"/>
      <c r="I7" s="313"/>
      <c r="J7" s="311"/>
      <c r="K7" s="312"/>
      <c r="L7" s="237"/>
      <c r="M7" s="238"/>
      <c r="N7" s="649"/>
    </row>
    <row r="8" spans="1:14" x14ac:dyDescent="0.25">
      <c r="A8" s="15" t="s">
        <v>167</v>
      </c>
      <c r="B8" s="240" t="s">
        <v>11</v>
      </c>
      <c r="C8" s="308"/>
      <c r="D8" s="307"/>
      <c r="E8" s="374"/>
      <c r="F8" s="384"/>
      <c r="G8" s="311">
        <f>6253909+806177</f>
        <v>7060086</v>
      </c>
      <c r="H8" s="489">
        <f>3162404.61+148121.57</f>
        <v>3310526.1799999997</v>
      </c>
      <c r="I8" s="313">
        <f>SUM(G8-H8)</f>
        <v>3749559.8200000003</v>
      </c>
      <c r="J8" s="311">
        <f>940142.770545-513860</f>
        <v>426282.77054499998</v>
      </c>
      <c r="K8" s="312">
        <f>SUM(G8+J8)</f>
        <v>7486368.7705450002</v>
      </c>
      <c r="L8" s="237">
        <v>7912397</v>
      </c>
      <c r="M8" s="238">
        <f>L8*1.044</f>
        <v>8260542.4680000003</v>
      </c>
      <c r="N8" s="237">
        <f>M8*1.045</f>
        <v>8632266.8790600002</v>
      </c>
    </row>
    <row r="9" spans="1:14" x14ac:dyDescent="0.25">
      <c r="A9" s="15" t="s">
        <v>518</v>
      </c>
      <c r="B9" s="15" t="s">
        <v>519</v>
      </c>
      <c r="C9" s="317"/>
      <c r="D9" s="314"/>
      <c r="E9" s="375"/>
      <c r="F9" s="377"/>
      <c r="G9" s="313">
        <v>0</v>
      </c>
      <c r="H9" s="489">
        <f>432537.49-148121.57</f>
        <v>284415.92</v>
      </c>
      <c r="I9" s="313">
        <f>SUM(G9-H9)</f>
        <v>-284415.92</v>
      </c>
      <c r="J9" s="313">
        <v>580000</v>
      </c>
      <c r="K9" s="312">
        <f>SUM(G9+J9)</f>
        <v>580000</v>
      </c>
      <c r="L9" s="237">
        <v>450000</v>
      </c>
      <c r="M9" s="238">
        <f>L9*1.044</f>
        <v>469800</v>
      </c>
      <c r="N9" s="237">
        <f>M9*1.045</f>
        <v>490940.99999999994</v>
      </c>
    </row>
    <row r="10" spans="1:14" x14ac:dyDescent="0.25">
      <c r="A10" s="15" t="s">
        <v>315</v>
      </c>
      <c r="B10" s="240" t="s">
        <v>314</v>
      </c>
      <c r="C10" s="308"/>
      <c r="D10" s="307"/>
      <c r="E10" s="374"/>
      <c r="F10" s="384"/>
      <c r="G10" s="311">
        <v>163439</v>
      </c>
      <c r="H10" s="489"/>
      <c r="I10" s="313">
        <f t="shared" ref="I10:I21" si="0">SUM(G10-H10)</f>
        <v>163439</v>
      </c>
      <c r="J10" s="311">
        <v>0</v>
      </c>
      <c r="K10" s="312">
        <f t="shared" ref="K10:K13" si="1">SUM(G10+J10)</f>
        <v>163439</v>
      </c>
      <c r="L10" s="237">
        <v>162531</v>
      </c>
      <c r="M10" s="238">
        <v>156631</v>
      </c>
      <c r="N10" s="237">
        <v>153098</v>
      </c>
    </row>
    <row r="11" spans="1:14" x14ac:dyDescent="0.25">
      <c r="A11" s="15" t="s">
        <v>520</v>
      </c>
      <c r="B11" s="650" t="s">
        <v>448</v>
      </c>
      <c r="C11" s="651"/>
      <c r="D11" s="626"/>
      <c r="E11" s="652"/>
      <c r="F11" s="653"/>
      <c r="G11" s="311">
        <v>0</v>
      </c>
      <c r="H11" s="489"/>
      <c r="I11" s="313">
        <f t="shared" si="0"/>
        <v>0</v>
      </c>
      <c r="J11" s="311">
        <v>0</v>
      </c>
      <c r="K11" s="312">
        <f t="shared" si="1"/>
        <v>0</v>
      </c>
      <c r="L11" s="237">
        <v>8000</v>
      </c>
      <c r="M11" s="238">
        <f>L11*1.044</f>
        <v>8352</v>
      </c>
      <c r="N11" s="237">
        <f>M11*1.045</f>
        <v>8727.84</v>
      </c>
    </row>
    <row r="12" spans="1:14" x14ac:dyDescent="0.25">
      <c r="A12" s="15" t="s">
        <v>174</v>
      </c>
      <c r="B12" s="240" t="s">
        <v>25</v>
      </c>
      <c r="C12" s="308"/>
      <c r="D12" s="307"/>
      <c r="E12" s="374"/>
      <c r="F12" s="384"/>
      <c r="G12" s="311">
        <f>21600+14400</f>
        <v>36000</v>
      </c>
      <c r="H12" s="489">
        <v>30000</v>
      </c>
      <c r="I12" s="313">
        <f t="shared" si="0"/>
        <v>6000</v>
      </c>
      <c r="J12" s="311">
        <v>24000</v>
      </c>
      <c r="K12" s="312">
        <f t="shared" si="1"/>
        <v>60000</v>
      </c>
      <c r="L12" s="237">
        <v>60000</v>
      </c>
      <c r="M12" s="238">
        <v>60000</v>
      </c>
      <c r="N12" s="237">
        <v>60000</v>
      </c>
    </row>
    <row r="13" spans="1:14" x14ac:dyDescent="0.25">
      <c r="A13" s="15" t="s">
        <v>175</v>
      </c>
      <c r="B13" s="240" t="s">
        <v>27</v>
      </c>
      <c r="C13" s="308"/>
      <c r="D13" s="307"/>
      <c r="E13" s="374"/>
      <c r="F13" s="384"/>
      <c r="G13" s="311">
        <f>383304+207797</f>
        <v>591101</v>
      </c>
      <c r="H13" s="489">
        <v>321476.74</v>
      </c>
      <c r="I13" s="313">
        <f t="shared" si="0"/>
        <v>269624.26</v>
      </c>
      <c r="J13" s="311">
        <v>8332</v>
      </c>
      <c r="K13" s="312">
        <f t="shared" si="1"/>
        <v>599433</v>
      </c>
      <c r="L13" s="237">
        <v>659433</v>
      </c>
      <c r="M13" s="238">
        <v>659433</v>
      </c>
      <c r="N13" s="237">
        <v>659433</v>
      </c>
    </row>
    <row r="14" spans="1:14" ht="20.25" customHeight="1" x14ac:dyDescent="0.25">
      <c r="A14" s="15" t="s">
        <v>177</v>
      </c>
      <c r="B14" s="240" t="s">
        <v>76</v>
      </c>
      <c r="C14" s="308"/>
      <c r="D14" s="307"/>
      <c r="E14" s="374"/>
      <c r="F14" s="384"/>
      <c r="G14" s="311">
        <v>34722</v>
      </c>
      <c r="H14" s="489">
        <v>17361.18</v>
      </c>
      <c r="I14" s="313">
        <f t="shared" si="0"/>
        <v>17360.82</v>
      </c>
      <c r="J14" s="311"/>
      <c r="K14" s="312">
        <f t="shared" ref="K14:K20" si="2">SUM(G14+J14)</f>
        <v>34722</v>
      </c>
      <c r="L14" s="237">
        <v>46296</v>
      </c>
      <c r="M14" s="238">
        <v>46296</v>
      </c>
      <c r="N14" s="237">
        <v>46296</v>
      </c>
    </row>
    <row r="15" spans="1:14" x14ac:dyDescent="0.25">
      <c r="A15" s="15" t="s">
        <v>178</v>
      </c>
      <c r="B15" s="240" t="s">
        <v>29</v>
      </c>
      <c r="C15" s="308"/>
      <c r="D15" s="307"/>
      <c r="E15" s="374"/>
      <c r="F15" s="384"/>
      <c r="G15" s="311">
        <v>3600</v>
      </c>
      <c r="H15" s="489">
        <v>1800</v>
      </c>
      <c r="I15" s="313">
        <f t="shared" si="0"/>
        <v>1800</v>
      </c>
      <c r="J15" s="311">
        <v>0</v>
      </c>
      <c r="K15" s="312">
        <f t="shared" si="2"/>
        <v>3600</v>
      </c>
      <c r="L15" s="237">
        <v>3600</v>
      </c>
      <c r="M15" s="238">
        <v>3600</v>
      </c>
      <c r="N15" s="237">
        <v>3600</v>
      </c>
    </row>
    <row r="16" spans="1:14" hidden="1" x14ac:dyDescent="0.25">
      <c r="A16" s="15" t="s">
        <v>526</v>
      </c>
      <c r="B16" s="240" t="s">
        <v>513</v>
      </c>
      <c r="C16" s="308"/>
      <c r="D16" s="307"/>
      <c r="E16" s="374"/>
      <c r="F16" s="384"/>
      <c r="G16" s="311">
        <v>0</v>
      </c>
      <c r="H16" s="489"/>
      <c r="I16" s="313">
        <f t="shared" si="0"/>
        <v>0</v>
      </c>
      <c r="J16" s="311">
        <v>0</v>
      </c>
      <c r="K16" s="312">
        <f t="shared" si="2"/>
        <v>0</v>
      </c>
      <c r="L16" s="237">
        <v>0</v>
      </c>
      <c r="M16" s="238">
        <v>0</v>
      </c>
      <c r="N16" s="237">
        <v>0</v>
      </c>
    </row>
    <row r="17" spans="1:24" x14ac:dyDescent="0.25">
      <c r="A17" s="15" t="s">
        <v>179</v>
      </c>
      <c r="B17" s="240" t="s">
        <v>31</v>
      </c>
      <c r="C17" s="308"/>
      <c r="D17" s="307"/>
      <c r="E17" s="374"/>
      <c r="F17" s="384"/>
      <c r="G17" s="311">
        <f>521159+52628</f>
        <v>573787</v>
      </c>
      <c r="H17" s="489">
        <v>149013.34</v>
      </c>
      <c r="I17" s="313">
        <f t="shared" si="0"/>
        <v>424773.66000000003</v>
      </c>
      <c r="J17" s="311">
        <v>28523.201370000024</v>
      </c>
      <c r="K17" s="312">
        <f t="shared" si="2"/>
        <v>602310.20137000002</v>
      </c>
      <c r="L17" s="237">
        <v>589349</v>
      </c>
      <c r="M17" s="238">
        <v>614101</v>
      </c>
      <c r="N17" s="237">
        <v>641122</v>
      </c>
    </row>
    <row r="18" spans="1:24" ht="20.25" customHeight="1" x14ac:dyDescent="0.25">
      <c r="A18" s="15" t="s">
        <v>316</v>
      </c>
      <c r="B18" s="242" t="s">
        <v>123</v>
      </c>
      <c r="C18" s="635"/>
      <c r="D18" s="441"/>
      <c r="E18" s="633"/>
      <c r="F18" s="637"/>
      <c r="G18" s="325">
        <v>37875.89</v>
      </c>
      <c r="H18" s="237">
        <v>39819.51</v>
      </c>
      <c r="I18" s="238">
        <f t="shared" si="0"/>
        <v>-1943.6200000000026</v>
      </c>
      <c r="J18" s="325">
        <v>1944</v>
      </c>
      <c r="K18" s="312">
        <f t="shared" si="2"/>
        <v>39819.89</v>
      </c>
      <c r="L18" s="237">
        <f>K18*1.048</f>
        <v>41731.244720000002</v>
      </c>
      <c r="M18" s="238">
        <f>L18*1.044</f>
        <v>43567.419487680003</v>
      </c>
      <c r="N18" s="237">
        <f>M18*1.04</f>
        <v>45310.116267187208</v>
      </c>
    </row>
    <row r="19" spans="1:24" ht="20.25" hidden="1" customHeight="1" x14ac:dyDescent="0.25">
      <c r="A19" s="15"/>
      <c r="B19" s="242"/>
      <c r="C19" s="635"/>
      <c r="D19" s="441"/>
      <c r="E19" s="633"/>
      <c r="F19" s="637"/>
      <c r="G19" s="325"/>
      <c r="H19" s="237"/>
      <c r="I19" s="237"/>
      <c r="J19" s="238"/>
      <c r="K19" s="312"/>
      <c r="L19" s="237"/>
      <c r="M19" s="238"/>
      <c r="N19" s="237"/>
    </row>
    <row r="20" spans="1:24" x14ac:dyDescent="0.25">
      <c r="A20" s="15"/>
      <c r="B20" s="240" t="s">
        <v>545</v>
      </c>
      <c r="C20" s="308"/>
      <c r="D20" s="307"/>
      <c r="E20" s="374"/>
      <c r="F20" s="384"/>
      <c r="G20" s="311">
        <v>52622</v>
      </c>
      <c r="H20" s="544"/>
      <c r="I20" s="544">
        <f t="shared" si="0"/>
        <v>52622</v>
      </c>
      <c r="J20" s="313">
        <v>0</v>
      </c>
      <c r="K20" s="312">
        <f t="shared" si="2"/>
        <v>52622</v>
      </c>
      <c r="L20" s="237">
        <f>K20*1.048</f>
        <v>55147.856</v>
      </c>
      <c r="M20" s="238">
        <f>L20*1.044</f>
        <v>57574.361664000004</v>
      </c>
      <c r="N20" s="237">
        <f>M20*1.045</f>
        <v>60165.207938879998</v>
      </c>
    </row>
    <row r="21" spans="1:24" hidden="1" x14ac:dyDescent="0.25">
      <c r="A21" s="15" t="s">
        <v>324</v>
      </c>
      <c r="B21" s="654" t="s">
        <v>502</v>
      </c>
      <c r="C21" s="655"/>
      <c r="D21" s="656"/>
      <c r="E21" s="657"/>
      <c r="F21" s="658"/>
      <c r="G21" s="311"/>
      <c r="H21" s="312"/>
      <c r="I21" s="312">
        <f t="shared" si="0"/>
        <v>0</v>
      </c>
      <c r="J21" s="313"/>
      <c r="K21" s="312"/>
      <c r="L21" s="335"/>
      <c r="M21" s="348"/>
      <c r="N21" s="237"/>
    </row>
    <row r="22" spans="1:24" x14ac:dyDescent="0.25">
      <c r="A22" s="15"/>
      <c r="B22" s="306" t="s">
        <v>552</v>
      </c>
      <c r="C22" s="659"/>
      <c r="D22" s="411"/>
      <c r="E22" s="412"/>
      <c r="F22" s="660"/>
      <c r="G22" s="332">
        <f t="shared" ref="G22:N22" si="3">SUM(G8:G21)</f>
        <v>8553232.8900000006</v>
      </c>
      <c r="H22" s="434">
        <f t="shared" si="3"/>
        <v>4154412.8699999996</v>
      </c>
      <c r="I22" s="434">
        <f t="shared" si="3"/>
        <v>4398820.0199999996</v>
      </c>
      <c r="J22" s="331">
        <f t="shared" si="3"/>
        <v>1069081.9719150001</v>
      </c>
      <c r="K22" s="434">
        <f t="shared" si="3"/>
        <v>9622314.8619150016</v>
      </c>
      <c r="L22" s="349">
        <f t="shared" si="3"/>
        <v>9988485.1007200014</v>
      </c>
      <c r="M22" s="349">
        <f t="shared" si="3"/>
        <v>10379897.249151681</v>
      </c>
      <c r="N22" s="349">
        <f t="shared" si="3"/>
        <v>10800960.043266067</v>
      </c>
    </row>
    <row r="23" spans="1:24" x14ac:dyDescent="0.25">
      <c r="A23" s="15"/>
      <c r="B23" s="240"/>
      <c r="C23" s="394"/>
      <c r="D23" s="393"/>
      <c r="E23" s="393"/>
      <c r="F23" s="394"/>
      <c r="L23" s="418"/>
      <c r="M23" s="344"/>
      <c r="N23" s="343"/>
    </row>
    <row r="24" spans="1:24" x14ac:dyDescent="0.25">
      <c r="A24" s="15"/>
      <c r="B24" s="306" t="s">
        <v>553</v>
      </c>
      <c r="C24" s="394"/>
      <c r="D24" s="393"/>
      <c r="E24" s="393"/>
      <c r="F24" s="394"/>
      <c r="L24" s="418"/>
      <c r="M24" s="238"/>
      <c r="N24" s="237"/>
    </row>
    <row r="25" spans="1:24" x14ac:dyDescent="0.25">
      <c r="A25" s="15" t="s">
        <v>168</v>
      </c>
      <c r="B25" s="240" t="s">
        <v>13</v>
      </c>
      <c r="C25" s="372"/>
      <c r="D25" s="437"/>
      <c r="E25" s="371"/>
      <c r="F25" s="501"/>
      <c r="G25" s="435">
        <v>1320</v>
      </c>
      <c r="H25" s="435">
        <v>610</v>
      </c>
      <c r="I25" s="435">
        <f>SUM(G25-H25)</f>
        <v>710</v>
      </c>
      <c r="J25" s="341">
        <f>163.2-124</f>
        <v>39.199999999999989</v>
      </c>
      <c r="K25" s="340">
        <f>SUM(G25+J25)</f>
        <v>1359.2</v>
      </c>
      <c r="L25" s="344">
        <v>2101</v>
      </c>
      <c r="M25" s="342">
        <v>1360</v>
      </c>
      <c r="N25" s="343">
        <v>1360</v>
      </c>
    </row>
    <row r="26" spans="1:24" x14ac:dyDescent="0.25">
      <c r="A26" s="15" t="s">
        <v>169</v>
      </c>
      <c r="B26" s="240" t="s">
        <v>15</v>
      </c>
      <c r="C26" s="308"/>
      <c r="D26" s="307"/>
      <c r="E26" s="374"/>
      <c r="F26" s="379"/>
      <c r="G26" s="489">
        <f>605248+95596</f>
        <v>700844</v>
      </c>
      <c r="H26" s="489">
        <v>279578.40000000002</v>
      </c>
      <c r="I26" s="489">
        <f t="shared" ref="I26:I28" si="4">SUM(G26-H26)</f>
        <v>421265.6</v>
      </c>
      <c r="J26" s="313">
        <v>-43036.672999999952</v>
      </c>
      <c r="K26" s="312">
        <f t="shared" ref="K26:K28" si="5">SUM(G26+J26)</f>
        <v>657807.32700000005</v>
      </c>
      <c r="L26" s="238">
        <v>677615</v>
      </c>
      <c r="M26" s="239">
        <v>687283</v>
      </c>
      <c r="N26" s="237">
        <v>750781</v>
      </c>
    </row>
    <row r="27" spans="1:24" x14ac:dyDescent="0.25">
      <c r="A27" s="15" t="s">
        <v>170</v>
      </c>
      <c r="B27" s="240" t="s">
        <v>17</v>
      </c>
      <c r="C27" s="308"/>
      <c r="D27" s="307"/>
      <c r="E27" s="374"/>
      <c r="F27" s="379"/>
      <c r="G27" s="489">
        <f>1038629+17261</f>
        <v>1055890</v>
      </c>
      <c r="H27" s="489">
        <v>543096.03</v>
      </c>
      <c r="I27" s="489">
        <f t="shared" si="4"/>
        <v>512793.97</v>
      </c>
      <c r="J27" s="313">
        <f>241580.51048-92495</f>
        <v>149085.51048</v>
      </c>
      <c r="K27" s="312">
        <f t="shared" si="5"/>
        <v>1204975.5104799999</v>
      </c>
      <c r="L27" s="238">
        <v>1186578</v>
      </c>
      <c r="M27" s="239">
        <f>L27*1.044</f>
        <v>1238787.432</v>
      </c>
      <c r="N27" s="237">
        <f>M27*1.045</f>
        <v>1294532.86644</v>
      </c>
    </row>
    <row r="28" spans="1:24" x14ac:dyDescent="0.25">
      <c r="A28" s="15" t="s">
        <v>171</v>
      </c>
      <c r="B28" s="240" t="s">
        <v>19</v>
      </c>
      <c r="C28" s="308"/>
      <c r="D28" s="307"/>
      <c r="E28" s="374"/>
      <c r="F28" s="379"/>
      <c r="G28" s="489">
        <v>28007</v>
      </c>
      <c r="H28" s="489">
        <v>11600.16</v>
      </c>
      <c r="I28" s="489">
        <f t="shared" si="4"/>
        <v>16406.84</v>
      </c>
      <c r="J28" s="313">
        <f>2950.6-1785</f>
        <v>1165.5999999999999</v>
      </c>
      <c r="K28" s="312">
        <f t="shared" si="5"/>
        <v>29172.6</v>
      </c>
      <c r="L28" s="238">
        <v>29785</v>
      </c>
      <c r="M28" s="239">
        <v>27385</v>
      </c>
      <c r="N28" s="237">
        <v>37385</v>
      </c>
    </row>
    <row r="29" spans="1:24" hidden="1" x14ac:dyDescent="0.25">
      <c r="A29" s="15" t="s">
        <v>524</v>
      </c>
      <c r="B29" s="15" t="s">
        <v>525</v>
      </c>
      <c r="C29" s="317"/>
      <c r="D29" s="314"/>
      <c r="E29" s="375"/>
      <c r="F29" s="472"/>
      <c r="G29" s="489">
        <v>0</v>
      </c>
      <c r="H29" s="489"/>
      <c r="I29" s="489">
        <f>SUM(G29-H29)</f>
        <v>0</v>
      </c>
      <c r="J29" s="313">
        <v>0</v>
      </c>
      <c r="K29" s="312">
        <f>SUM(G29+J29)</f>
        <v>0</v>
      </c>
      <c r="L29" s="238"/>
      <c r="M29" s="239"/>
      <c r="N29" s="237"/>
      <c r="Q29" s="661"/>
    </row>
    <row r="30" spans="1:24" s="509" customFormat="1" x14ac:dyDescent="0.25">
      <c r="A30" s="191" t="s">
        <v>521</v>
      </c>
      <c r="B30" s="191" t="s">
        <v>978</v>
      </c>
      <c r="C30" s="245"/>
      <c r="D30" s="244"/>
      <c r="E30" s="376"/>
      <c r="F30" s="571"/>
      <c r="G30" s="237"/>
      <c r="H30" s="239">
        <v>3989.76</v>
      </c>
      <c r="I30" s="239">
        <f>SUM(G30-H30)</f>
        <v>-3989.76</v>
      </c>
      <c r="J30" s="238">
        <v>5800</v>
      </c>
      <c r="K30" s="239">
        <f>SUM(G30+J30)</f>
        <v>5800</v>
      </c>
      <c r="L30" s="238">
        <f>K30*1.048</f>
        <v>6078.4000000000005</v>
      </c>
      <c r="M30" s="239">
        <f>L30*1.044</f>
        <v>6345.8496000000005</v>
      </c>
      <c r="N30" s="237">
        <f>M30*1.045</f>
        <v>6631.412832</v>
      </c>
      <c r="O30" s="537"/>
      <c r="P30" s="647"/>
      <c r="Q30" s="647"/>
      <c r="R30" s="662"/>
      <c r="S30" s="647"/>
      <c r="T30" s="647"/>
      <c r="U30" s="647"/>
      <c r="V30" s="647"/>
      <c r="W30" s="647"/>
      <c r="X30" s="647"/>
    </row>
    <row r="31" spans="1:24" s="509" customFormat="1" x14ac:dyDescent="0.25">
      <c r="A31" s="191" t="s">
        <v>517</v>
      </c>
      <c r="B31" s="191" t="s">
        <v>1306</v>
      </c>
      <c r="C31" s="246"/>
      <c r="D31" s="244"/>
      <c r="E31" s="376"/>
      <c r="F31" s="571"/>
      <c r="G31" s="538"/>
      <c r="H31" s="358">
        <v>3376.93</v>
      </c>
      <c r="I31" s="358">
        <f>SUM(G31-H31)</f>
        <v>-3376.93</v>
      </c>
      <c r="J31" s="348">
        <v>6754</v>
      </c>
      <c r="K31" s="358">
        <f>SUM(G31+J31)</f>
        <v>6754</v>
      </c>
      <c r="L31" s="348">
        <f>K31*1.048</f>
        <v>7078.192</v>
      </c>
      <c r="M31" s="358">
        <f>L31*1.044</f>
        <v>7389.6324480000003</v>
      </c>
      <c r="N31" s="538">
        <f>M31*1.045</f>
        <v>7722.1659081600001</v>
      </c>
      <c r="O31" s="537"/>
      <c r="P31" s="647"/>
      <c r="Q31" s="647"/>
      <c r="R31" s="662"/>
      <c r="S31" s="647"/>
      <c r="T31" s="647"/>
      <c r="U31" s="647"/>
      <c r="V31" s="647"/>
      <c r="W31" s="647"/>
      <c r="X31" s="647"/>
    </row>
    <row r="32" spans="1:24" x14ac:dyDescent="0.25">
      <c r="A32" s="15"/>
      <c r="B32" s="306" t="s">
        <v>554</v>
      </c>
      <c r="C32" s="659"/>
      <c r="D32" s="411"/>
      <c r="E32" s="412"/>
      <c r="F32" s="660"/>
      <c r="G32" s="562">
        <f>SUM(G25:G31)</f>
        <v>1786061</v>
      </c>
      <c r="H32" s="562">
        <f t="shared" ref="H32:N32" si="6">SUM(H25:H31)</f>
        <v>842251.28000000014</v>
      </c>
      <c r="I32" s="562">
        <f t="shared" si="6"/>
        <v>943809.71999999986</v>
      </c>
      <c r="J32" s="562">
        <f t="shared" si="6"/>
        <v>119807.63748000005</v>
      </c>
      <c r="K32" s="562">
        <f t="shared" si="6"/>
        <v>1905868.63748</v>
      </c>
      <c r="L32" s="563">
        <f t="shared" si="6"/>
        <v>1909235.5919999999</v>
      </c>
      <c r="M32" s="563">
        <f t="shared" si="6"/>
        <v>1968550.914048</v>
      </c>
      <c r="N32" s="594">
        <f t="shared" si="6"/>
        <v>2098412.44518016</v>
      </c>
      <c r="O32" s="624"/>
      <c r="P32" s="416"/>
      <c r="Q32" s="416"/>
      <c r="R32" s="663"/>
      <c r="S32" s="416"/>
      <c r="T32" s="416"/>
    </row>
    <row r="33" spans="1:24" ht="16.5" thickBot="1" x14ac:dyDescent="0.3">
      <c r="A33" s="15"/>
      <c r="B33" s="240"/>
      <c r="C33" s="505"/>
      <c r="D33" s="504"/>
      <c r="E33" s="504"/>
      <c r="F33" s="505"/>
      <c r="L33" s="418"/>
      <c r="M33" s="344"/>
      <c r="N33" s="343"/>
    </row>
    <row r="34" spans="1:24" x14ac:dyDescent="0.25">
      <c r="A34" s="15"/>
      <c r="B34" s="306" t="s">
        <v>555</v>
      </c>
      <c r="C34" s="499"/>
      <c r="D34" s="386"/>
      <c r="E34" s="386"/>
      <c r="F34" s="499"/>
      <c r="G34" s="664">
        <f t="shared" ref="G34:N34" si="7">G22+G32</f>
        <v>10339293.890000001</v>
      </c>
      <c r="H34" s="664">
        <f t="shared" si="7"/>
        <v>4996664.1499999994</v>
      </c>
      <c r="I34" s="664">
        <f t="shared" si="7"/>
        <v>5342629.7399999993</v>
      </c>
      <c r="J34" s="664">
        <f t="shared" si="7"/>
        <v>1188889.6093950002</v>
      </c>
      <c r="K34" s="664">
        <f t="shared" si="7"/>
        <v>11528183.499395002</v>
      </c>
      <c r="L34" s="665">
        <f t="shared" si="7"/>
        <v>11897720.692720002</v>
      </c>
      <c r="M34" s="665">
        <f t="shared" si="7"/>
        <v>12348448.16319968</v>
      </c>
      <c r="N34" s="665">
        <f t="shared" si="7"/>
        <v>12899372.488446228</v>
      </c>
      <c r="P34" s="661"/>
      <c r="Q34" s="666"/>
    </row>
    <row r="35" spans="1:24" x14ac:dyDescent="0.25">
      <c r="A35" s="15"/>
      <c r="B35" s="393"/>
      <c r="C35" s="372"/>
      <c r="D35" s="437"/>
      <c r="E35" s="371"/>
      <c r="F35" s="667"/>
      <c r="G35" s="340"/>
      <c r="H35" s="341"/>
      <c r="I35" s="340"/>
      <c r="J35" s="341"/>
      <c r="K35" s="340"/>
      <c r="L35" s="592"/>
      <c r="M35" s="344"/>
      <c r="N35" s="237"/>
    </row>
    <row r="36" spans="1:24" x14ac:dyDescent="0.25">
      <c r="A36" s="16" t="s">
        <v>318</v>
      </c>
      <c r="B36" s="523" t="s">
        <v>559</v>
      </c>
      <c r="C36" s="668"/>
      <c r="D36" s="428"/>
      <c r="E36" s="429"/>
      <c r="F36" s="492"/>
      <c r="G36" s="312"/>
      <c r="H36" s="313"/>
      <c r="I36" s="312"/>
      <c r="J36" s="313"/>
      <c r="K36" s="312"/>
      <c r="L36" s="335"/>
      <c r="M36" s="238"/>
      <c r="N36" s="237"/>
    </row>
    <row r="37" spans="1:24" x14ac:dyDescent="0.25">
      <c r="A37" s="16" t="s">
        <v>320</v>
      </c>
      <c r="B37" s="16" t="s">
        <v>319</v>
      </c>
      <c r="C37" s="668"/>
      <c r="D37" s="428"/>
      <c r="E37" s="429"/>
      <c r="F37" s="492"/>
      <c r="G37" s="435">
        <v>56496</v>
      </c>
      <c r="H37" s="341">
        <v>28544.52</v>
      </c>
      <c r="I37" s="340">
        <f>SUM(G37-H37)</f>
        <v>27951.48</v>
      </c>
      <c r="J37" s="341">
        <v>29500</v>
      </c>
      <c r="K37" s="340">
        <f>SUM(G37+J37)</f>
        <v>85996</v>
      </c>
      <c r="L37" s="359">
        <f>K37*1.048</f>
        <v>90123.808000000005</v>
      </c>
      <c r="M37" s="359">
        <f>L37*1.044</f>
        <v>94089.255552000002</v>
      </c>
      <c r="N37" s="342">
        <f>M37*1.045</f>
        <v>98323.272051840002</v>
      </c>
    </row>
    <row r="38" spans="1:24" x14ac:dyDescent="0.25">
      <c r="A38" s="16" t="s">
        <v>322</v>
      </c>
      <c r="B38" s="16" t="s">
        <v>321</v>
      </c>
      <c r="C38" s="668"/>
      <c r="D38" s="428"/>
      <c r="E38" s="429"/>
      <c r="F38" s="492"/>
      <c r="G38" s="489">
        <v>3476</v>
      </c>
      <c r="H38" s="313">
        <v>69773.09</v>
      </c>
      <c r="I38" s="312">
        <f t="shared" ref="I38:I39" si="8">SUM(G38-H38)</f>
        <v>-66297.09</v>
      </c>
      <c r="J38" s="313">
        <v>66297</v>
      </c>
      <c r="K38" s="312">
        <f t="shared" ref="K38:K39" si="9">SUM(G38+J38)</f>
        <v>69773</v>
      </c>
      <c r="L38" s="239">
        <f t="shared" ref="L38:L39" si="10">K38*1.048</f>
        <v>73122.104000000007</v>
      </c>
      <c r="M38" s="238">
        <f t="shared" ref="M38:M39" si="11">L38*1.044</f>
        <v>76339.476576000015</v>
      </c>
      <c r="N38" s="237">
        <f t="shared" ref="N38:N39" si="12">M38*1.045</f>
        <v>79774.753021920013</v>
      </c>
    </row>
    <row r="39" spans="1:24" x14ac:dyDescent="0.25">
      <c r="A39" s="16"/>
      <c r="B39" s="564" t="s">
        <v>956</v>
      </c>
      <c r="C39" s="669"/>
      <c r="D39" s="565"/>
      <c r="E39" s="566"/>
      <c r="F39" s="670"/>
      <c r="G39" s="544">
        <v>0</v>
      </c>
      <c r="H39" s="347">
        <v>25431.42</v>
      </c>
      <c r="I39" s="346">
        <f t="shared" si="8"/>
        <v>-25431.42</v>
      </c>
      <c r="J39" s="347">
        <v>25431</v>
      </c>
      <c r="K39" s="346">
        <f t="shared" si="9"/>
        <v>25431</v>
      </c>
      <c r="L39" s="239">
        <f t="shared" si="10"/>
        <v>26651.688000000002</v>
      </c>
      <c r="M39" s="238">
        <f t="shared" si="11"/>
        <v>27824.362272000002</v>
      </c>
      <c r="N39" s="237">
        <f t="shared" si="12"/>
        <v>29076.458574240001</v>
      </c>
    </row>
    <row r="40" spans="1:24" x14ac:dyDescent="0.25">
      <c r="A40" s="15"/>
      <c r="B40" s="393" t="s">
        <v>566</v>
      </c>
      <c r="C40" s="659"/>
      <c r="D40" s="411"/>
      <c r="E40" s="412"/>
      <c r="F40" s="660"/>
      <c r="G40" s="413">
        <f t="shared" ref="G40:I40" si="13">SUM(G36:G39)</f>
        <v>59972</v>
      </c>
      <c r="H40" s="331">
        <f t="shared" si="13"/>
        <v>123749.03</v>
      </c>
      <c r="I40" s="331">
        <f t="shared" si="13"/>
        <v>-63777.03</v>
      </c>
      <c r="J40" s="331">
        <f>SUM(J36:J39)</f>
        <v>121228</v>
      </c>
      <c r="K40" s="331">
        <f>SUM(K36:K39)</f>
        <v>181200</v>
      </c>
      <c r="L40" s="414">
        <f t="shared" ref="L40:N40" si="14">SUM(L36:L39)</f>
        <v>189897.60000000001</v>
      </c>
      <c r="M40" s="414">
        <f t="shared" si="14"/>
        <v>198253.0944</v>
      </c>
      <c r="N40" s="349">
        <f t="shared" si="14"/>
        <v>207174.48364800002</v>
      </c>
    </row>
    <row r="41" spans="1:24" x14ac:dyDescent="0.25">
      <c r="A41" s="131"/>
      <c r="B41" s="393" t="s">
        <v>569</v>
      </c>
      <c r="C41" s="394"/>
      <c r="D41" s="393"/>
      <c r="E41" s="393"/>
      <c r="F41" s="394"/>
      <c r="L41" s="418"/>
      <c r="M41" s="238"/>
      <c r="N41" s="538"/>
    </row>
    <row r="42" spans="1:24" s="509" customFormat="1" ht="20.45" customHeight="1" x14ac:dyDescent="0.25">
      <c r="A42" s="191" t="s">
        <v>156</v>
      </c>
      <c r="B42" s="191" t="s">
        <v>157</v>
      </c>
      <c r="C42" s="671" t="s">
        <v>313</v>
      </c>
      <c r="D42" s="438" t="s">
        <v>1057</v>
      </c>
      <c r="E42" s="671" t="s">
        <v>1119</v>
      </c>
      <c r="F42" s="480" t="s">
        <v>1093</v>
      </c>
      <c r="G42" s="342">
        <v>3241410</v>
      </c>
      <c r="H42" s="344">
        <v>3264040.54</v>
      </c>
      <c r="I42" s="342">
        <f t="shared" ref="I42:I56" si="15">SUM(G42-H42)</f>
        <v>-22630.540000000037</v>
      </c>
      <c r="J42" s="344">
        <f>1000000+300000</f>
        <v>1300000</v>
      </c>
      <c r="K42" s="359">
        <f t="shared" ref="K42:K56" si="16">SUM(G42+J42)</f>
        <v>4541410</v>
      </c>
      <c r="L42" s="359">
        <f>4759398-859398</f>
        <v>3900000</v>
      </c>
      <c r="M42" s="344">
        <v>4000000</v>
      </c>
      <c r="N42" s="343">
        <f>M42*1.045</f>
        <v>4179999.9999999995</v>
      </c>
      <c r="O42" s="537"/>
      <c r="P42" s="647"/>
      <c r="Q42" s="647"/>
      <c r="R42" s="662"/>
      <c r="S42" s="647"/>
      <c r="T42" s="647"/>
      <c r="U42" s="647"/>
      <c r="V42" s="647"/>
      <c r="W42" s="647"/>
      <c r="X42" s="647"/>
    </row>
    <row r="43" spans="1:24" ht="20.25" customHeight="1" x14ac:dyDescent="0.25">
      <c r="A43" s="15" t="s">
        <v>158</v>
      </c>
      <c r="B43" s="15" t="s">
        <v>161</v>
      </c>
      <c r="C43" s="318" t="s">
        <v>313</v>
      </c>
      <c r="D43" s="314" t="s">
        <v>1057</v>
      </c>
      <c r="E43" s="318" t="s">
        <v>1120</v>
      </c>
      <c r="F43" s="377" t="s">
        <v>1093</v>
      </c>
      <c r="G43" s="239">
        <v>244095</v>
      </c>
      <c r="H43" s="238">
        <v>79801.399999999994</v>
      </c>
      <c r="I43" s="239">
        <f t="shared" si="15"/>
        <v>164293.6</v>
      </c>
      <c r="J43" s="238">
        <v>0</v>
      </c>
      <c r="K43" s="238">
        <f t="shared" si="16"/>
        <v>244095</v>
      </c>
      <c r="L43" s="325">
        <f>K43*1.048</f>
        <v>255811.56</v>
      </c>
      <c r="M43" s="325">
        <f>L43*1.044</f>
        <v>267067.26864000002</v>
      </c>
      <c r="N43" s="239">
        <f>M43*1.045</f>
        <v>279085.2957288</v>
      </c>
    </row>
    <row r="44" spans="1:24" s="509" customFormat="1" ht="27" customHeight="1" x14ac:dyDescent="0.25">
      <c r="A44" s="191" t="s">
        <v>159</v>
      </c>
      <c r="B44" s="191" t="s">
        <v>1270</v>
      </c>
      <c r="C44" s="246" t="s">
        <v>313</v>
      </c>
      <c r="D44" s="244" t="s">
        <v>1057</v>
      </c>
      <c r="E44" s="246" t="s">
        <v>1122</v>
      </c>
      <c r="F44" s="636" t="s">
        <v>1093</v>
      </c>
      <c r="G44" s="239">
        <v>1000000</v>
      </c>
      <c r="H44" s="238">
        <v>756445.01</v>
      </c>
      <c r="I44" s="239">
        <f t="shared" si="15"/>
        <v>243554.99</v>
      </c>
      <c r="J44" s="238">
        <v>795000</v>
      </c>
      <c r="K44" s="238">
        <f t="shared" si="16"/>
        <v>1795000</v>
      </c>
      <c r="L44" s="239">
        <f>1120000+200000</f>
        <v>1320000</v>
      </c>
      <c r="M44" s="238">
        <f>L44*1.044</f>
        <v>1378080</v>
      </c>
      <c r="N44" s="237">
        <v>1300000</v>
      </c>
      <c r="O44" s="537"/>
      <c r="P44" s="647"/>
      <c r="Q44" s="647"/>
      <c r="R44" s="662"/>
      <c r="S44" s="647"/>
      <c r="T44" s="647"/>
      <c r="U44" s="647"/>
      <c r="V44" s="647"/>
      <c r="W44" s="647"/>
      <c r="X44" s="647"/>
    </row>
    <row r="45" spans="1:24" ht="20.45" customHeight="1" x14ac:dyDescent="0.25">
      <c r="A45" s="15" t="s">
        <v>160</v>
      </c>
      <c r="B45" s="191" t="s">
        <v>1016</v>
      </c>
      <c r="C45" s="246" t="s">
        <v>313</v>
      </c>
      <c r="D45" s="244" t="s">
        <v>1057</v>
      </c>
      <c r="E45" s="246" t="s">
        <v>1123</v>
      </c>
      <c r="F45" s="636" t="s">
        <v>1093</v>
      </c>
      <c r="G45" s="239"/>
      <c r="H45" s="238">
        <v>21000</v>
      </c>
      <c r="I45" s="239">
        <f t="shared" si="15"/>
        <v>-21000</v>
      </c>
      <c r="J45" s="238">
        <v>21000</v>
      </c>
      <c r="K45" s="238">
        <f t="shared" si="16"/>
        <v>21000</v>
      </c>
      <c r="L45" s="239">
        <f>80000-30000</f>
        <v>50000</v>
      </c>
      <c r="M45" s="238">
        <v>50000</v>
      </c>
      <c r="N45" s="237">
        <v>50000</v>
      </c>
    </row>
    <row r="46" spans="1:24" s="509" customFormat="1" ht="18" customHeight="1" x14ac:dyDescent="0.25">
      <c r="A46" s="191" t="s">
        <v>162</v>
      </c>
      <c r="B46" s="191" t="s">
        <v>163</v>
      </c>
      <c r="C46" s="246" t="s">
        <v>313</v>
      </c>
      <c r="D46" s="244" t="s">
        <v>1118</v>
      </c>
      <c r="E46" s="246" t="s">
        <v>1121</v>
      </c>
      <c r="F46" s="636" t="s">
        <v>1093</v>
      </c>
      <c r="G46" s="239">
        <v>483662</v>
      </c>
      <c r="H46" s="238">
        <v>676501.92</v>
      </c>
      <c r="I46" s="239">
        <f t="shared" si="15"/>
        <v>-192839.92000000004</v>
      </c>
      <c r="J46" s="238">
        <f>192840+150000</f>
        <v>342840</v>
      </c>
      <c r="K46" s="238">
        <f t="shared" si="16"/>
        <v>826502</v>
      </c>
      <c r="L46" s="239">
        <f>K46*1.048</f>
        <v>866174.09600000002</v>
      </c>
      <c r="M46" s="238">
        <f>L46*1.044</f>
        <v>904285.75622400001</v>
      </c>
      <c r="N46" s="237">
        <f>M46*1.045</f>
        <v>944978.61525407992</v>
      </c>
      <c r="O46" s="537"/>
      <c r="P46" s="647"/>
      <c r="Q46" s="647"/>
      <c r="R46" s="662"/>
      <c r="S46" s="647"/>
      <c r="T46" s="647"/>
      <c r="U46" s="647"/>
      <c r="V46" s="647"/>
      <c r="W46" s="647"/>
      <c r="X46" s="647"/>
    </row>
    <row r="47" spans="1:24" s="509" customFormat="1" ht="18.75" customHeight="1" x14ac:dyDescent="0.25">
      <c r="A47" s="191" t="s">
        <v>164</v>
      </c>
      <c r="B47" s="15" t="s">
        <v>181</v>
      </c>
      <c r="C47" s="318" t="s">
        <v>313</v>
      </c>
      <c r="D47" s="314" t="s">
        <v>1057</v>
      </c>
      <c r="E47" s="318" t="s">
        <v>1092</v>
      </c>
      <c r="F47" s="377" t="s">
        <v>1093</v>
      </c>
      <c r="G47" s="239">
        <f>'Departmental Summary (3)'!B56*1/100</f>
        <v>1014057.45933</v>
      </c>
      <c r="H47" s="238">
        <v>932251.51</v>
      </c>
      <c r="I47" s="239">
        <f t="shared" si="15"/>
        <v>81805.949329999974</v>
      </c>
      <c r="J47" s="238">
        <v>0</v>
      </c>
      <c r="K47" s="238">
        <f t="shared" si="16"/>
        <v>1014057.45933</v>
      </c>
      <c r="L47" s="239">
        <f>K47*1.048</f>
        <v>1062732.2173778401</v>
      </c>
      <c r="M47" s="238">
        <f>L47*1.044</f>
        <v>1109492.434942465</v>
      </c>
      <c r="N47" s="237">
        <f>M47*1.045</f>
        <v>1159419.5945148759</v>
      </c>
      <c r="O47" s="537"/>
      <c r="P47" s="672"/>
      <c r="Q47" s="647"/>
      <c r="R47" s="662"/>
      <c r="S47" s="647"/>
      <c r="T47" s="673"/>
      <c r="U47" s="647"/>
      <c r="V47" s="647"/>
      <c r="W47" s="647"/>
      <c r="X47" s="647"/>
    </row>
    <row r="48" spans="1:24" s="509" customFormat="1" ht="27.2" customHeight="1" x14ac:dyDescent="0.25">
      <c r="A48" s="191"/>
      <c r="B48" s="15" t="s">
        <v>1271</v>
      </c>
      <c r="C48" s="318" t="s">
        <v>313</v>
      </c>
      <c r="D48" s="314" t="s">
        <v>1057</v>
      </c>
      <c r="E48" s="318" t="s">
        <v>1122</v>
      </c>
      <c r="F48" s="377" t="s">
        <v>1093</v>
      </c>
      <c r="G48" s="239">
        <v>981855</v>
      </c>
      <c r="H48" s="238">
        <v>831300.06</v>
      </c>
      <c r="I48" s="239">
        <f t="shared" si="15"/>
        <v>150554.93999999994</v>
      </c>
      <c r="J48" s="238">
        <v>0</v>
      </c>
      <c r="K48" s="238">
        <f t="shared" si="16"/>
        <v>981855</v>
      </c>
      <c r="L48" s="239">
        <f>1557911-558000</f>
        <v>999911</v>
      </c>
      <c r="M48" s="238">
        <f>L48*1.044</f>
        <v>1043907.084</v>
      </c>
      <c r="N48" s="237">
        <f>M48*1.045</f>
        <v>1090882.9027799999</v>
      </c>
      <c r="O48" s="537"/>
      <c r="P48" s="672"/>
      <c r="Q48" s="647"/>
      <c r="R48" s="662"/>
      <c r="S48" s="647"/>
      <c r="T48" s="647"/>
      <c r="U48" s="647"/>
      <c r="V48" s="647"/>
      <c r="W48" s="647"/>
      <c r="X48" s="647"/>
    </row>
    <row r="49" spans="1:24" ht="25.7" customHeight="1" x14ac:dyDescent="0.25">
      <c r="A49" s="15" t="s">
        <v>165</v>
      </c>
      <c r="B49" s="240" t="s">
        <v>523</v>
      </c>
      <c r="C49" s="309" t="s">
        <v>313</v>
      </c>
      <c r="D49" s="307" t="s">
        <v>1057</v>
      </c>
      <c r="E49" s="309" t="s">
        <v>1122</v>
      </c>
      <c r="F49" s="384" t="s">
        <v>1093</v>
      </c>
      <c r="G49" s="239">
        <v>270350</v>
      </c>
      <c r="H49" s="238">
        <v>86215.5</v>
      </c>
      <c r="I49" s="239">
        <f t="shared" si="15"/>
        <v>184134.5</v>
      </c>
      <c r="J49" s="238">
        <v>0</v>
      </c>
      <c r="K49" s="238">
        <f t="shared" si="16"/>
        <v>270350</v>
      </c>
      <c r="L49" s="239">
        <f>140000+150000+100000-87600</f>
        <v>302400</v>
      </c>
      <c r="M49" s="238">
        <f>L49*1.044</f>
        <v>315705.60000000003</v>
      </c>
      <c r="N49" s="237">
        <f>M49*1.045</f>
        <v>329912.35200000001</v>
      </c>
    </row>
    <row r="50" spans="1:24" s="509" customFormat="1" ht="25.5" customHeight="1" x14ac:dyDescent="0.25">
      <c r="A50" s="191" t="s">
        <v>172</v>
      </c>
      <c r="B50" s="15" t="s">
        <v>5</v>
      </c>
      <c r="C50" s="318" t="s">
        <v>313</v>
      </c>
      <c r="D50" s="314" t="s">
        <v>1057</v>
      </c>
      <c r="E50" s="318" t="s">
        <v>1096</v>
      </c>
      <c r="F50" s="377" t="s">
        <v>1093</v>
      </c>
      <c r="G50" s="239">
        <f t="shared" ref="G50:N50" si="17">G34*1/100</f>
        <v>103392.93890000001</v>
      </c>
      <c r="H50" s="238">
        <f t="shared" si="17"/>
        <v>49966.641499999998</v>
      </c>
      <c r="I50" s="239">
        <f t="shared" si="17"/>
        <v>53426.297399999996</v>
      </c>
      <c r="J50" s="238">
        <f t="shared" si="17"/>
        <v>11888.896093950001</v>
      </c>
      <c r="K50" s="238">
        <f t="shared" si="17"/>
        <v>115281.83499395002</v>
      </c>
      <c r="L50" s="239">
        <f t="shared" si="17"/>
        <v>118977.20692720002</v>
      </c>
      <c r="M50" s="238">
        <f t="shared" si="17"/>
        <v>123484.48163199679</v>
      </c>
      <c r="N50" s="237">
        <f t="shared" si="17"/>
        <v>128993.72488446228</v>
      </c>
      <c r="O50" s="674"/>
      <c r="P50" s="647"/>
      <c r="Q50" s="647"/>
      <c r="R50" s="662"/>
      <c r="S50" s="647"/>
      <c r="T50" s="647"/>
      <c r="U50" s="647"/>
      <c r="V50" s="647"/>
      <c r="W50" s="647"/>
      <c r="X50" s="647"/>
    </row>
    <row r="51" spans="1:24" s="509" customFormat="1" ht="21.2" customHeight="1" x14ac:dyDescent="0.25">
      <c r="A51" s="191" t="s">
        <v>173</v>
      </c>
      <c r="B51" s="191" t="s">
        <v>21</v>
      </c>
      <c r="C51" s="246" t="s">
        <v>313</v>
      </c>
      <c r="D51" s="244" t="s">
        <v>1057</v>
      </c>
      <c r="E51" s="246" t="s">
        <v>1101</v>
      </c>
      <c r="F51" s="636" t="s">
        <v>1093</v>
      </c>
      <c r="G51" s="239">
        <v>137505</v>
      </c>
      <c r="H51" s="238">
        <v>159960.56</v>
      </c>
      <c r="I51" s="239">
        <f t="shared" si="15"/>
        <v>-22455.559999999998</v>
      </c>
      <c r="J51" s="238">
        <v>86000</v>
      </c>
      <c r="K51" s="238">
        <f t="shared" si="16"/>
        <v>223505</v>
      </c>
      <c r="L51" s="325">
        <f>230000-50000</f>
        <v>180000</v>
      </c>
      <c r="M51" s="325">
        <f>L51*1.044</f>
        <v>187920</v>
      </c>
      <c r="N51" s="237">
        <f>M51*1.045</f>
        <v>196376.4</v>
      </c>
      <c r="O51" s="674"/>
      <c r="P51" s="647"/>
      <c r="Q51" s="647"/>
      <c r="R51" s="662"/>
      <c r="S51" s="647"/>
      <c r="T51" s="647"/>
      <c r="U51" s="647"/>
      <c r="V51" s="647"/>
      <c r="W51" s="647"/>
      <c r="X51" s="647"/>
    </row>
    <row r="52" spans="1:24" ht="29.25" customHeight="1" x14ac:dyDescent="0.25">
      <c r="A52" s="15" t="s">
        <v>323</v>
      </c>
      <c r="B52" s="191" t="s">
        <v>23</v>
      </c>
      <c r="C52" s="246" t="s">
        <v>313</v>
      </c>
      <c r="D52" s="244" t="s">
        <v>1057</v>
      </c>
      <c r="E52" s="246" t="s">
        <v>1088</v>
      </c>
      <c r="F52" s="636" t="s">
        <v>1093</v>
      </c>
      <c r="G52" s="239">
        <v>18025</v>
      </c>
      <c r="H52" s="238">
        <v>15640</v>
      </c>
      <c r="I52" s="239">
        <f t="shared" si="15"/>
        <v>2385</v>
      </c>
      <c r="J52" s="238">
        <v>8000</v>
      </c>
      <c r="K52" s="238">
        <f t="shared" si="16"/>
        <v>26025</v>
      </c>
      <c r="L52" s="325">
        <v>30000</v>
      </c>
      <c r="M52" s="325">
        <f>L52*1.044</f>
        <v>31320</v>
      </c>
      <c r="N52" s="237">
        <f>M52*1.045</f>
        <v>32729.399999999998</v>
      </c>
    </row>
    <row r="53" spans="1:24" s="509" customFormat="1" ht="15.75" hidden="1" customHeight="1" x14ac:dyDescent="0.25">
      <c r="A53" s="191" t="s">
        <v>176</v>
      </c>
      <c r="B53" s="15" t="s">
        <v>50</v>
      </c>
      <c r="C53" s="318" t="s">
        <v>313</v>
      </c>
      <c r="D53" s="314" t="s">
        <v>1057</v>
      </c>
      <c r="E53" s="375"/>
      <c r="F53" s="377" t="s">
        <v>1093</v>
      </c>
      <c r="G53" s="239">
        <v>0</v>
      </c>
      <c r="H53" s="238"/>
      <c r="I53" s="239">
        <f t="shared" si="15"/>
        <v>0</v>
      </c>
      <c r="J53" s="238"/>
      <c r="K53" s="238">
        <f t="shared" si="16"/>
        <v>0</v>
      </c>
      <c r="L53" s="325">
        <v>0</v>
      </c>
      <c r="M53" s="325">
        <v>0</v>
      </c>
      <c r="N53" s="237">
        <v>0</v>
      </c>
      <c r="O53" s="537"/>
      <c r="P53" s="647"/>
      <c r="Q53" s="647"/>
      <c r="R53" s="662"/>
      <c r="S53" s="647"/>
      <c r="T53" s="647"/>
      <c r="U53" s="647"/>
      <c r="V53" s="647"/>
      <c r="W53" s="647"/>
      <c r="X53" s="647"/>
    </row>
    <row r="54" spans="1:24" ht="21.75" customHeight="1" x14ac:dyDescent="0.25">
      <c r="A54" s="15" t="s">
        <v>180</v>
      </c>
      <c r="B54" s="191" t="s">
        <v>62</v>
      </c>
      <c r="C54" s="246" t="s">
        <v>313</v>
      </c>
      <c r="D54" s="244" t="s">
        <v>1057</v>
      </c>
      <c r="E54" s="675" t="s">
        <v>1104</v>
      </c>
      <c r="F54" s="636" t="s">
        <v>1093</v>
      </c>
      <c r="G54" s="239">
        <v>15429</v>
      </c>
      <c r="H54" s="238">
        <v>12314.64</v>
      </c>
      <c r="I54" s="239">
        <f t="shared" si="15"/>
        <v>3114.3600000000006</v>
      </c>
      <c r="J54" s="238">
        <v>10000</v>
      </c>
      <c r="K54" s="238">
        <f t="shared" si="16"/>
        <v>25429</v>
      </c>
      <c r="L54" s="325">
        <f>K54*1.048-3900</f>
        <v>22749.592000000001</v>
      </c>
      <c r="M54" s="325">
        <f>L54*1.044</f>
        <v>23750.574048000002</v>
      </c>
      <c r="N54" s="237">
        <f>M54*1.045</f>
        <v>24819.34988016</v>
      </c>
    </row>
    <row r="55" spans="1:24" ht="18" customHeight="1" x14ac:dyDescent="0.25">
      <c r="A55" s="15" t="s">
        <v>182</v>
      </c>
      <c r="B55" s="191" t="s">
        <v>7</v>
      </c>
      <c r="C55" s="246" t="s">
        <v>313</v>
      </c>
      <c r="D55" s="244" t="s">
        <v>1057</v>
      </c>
      <c r="E55" s="246" t="s">
        <v>1076</v>
      </c>
      <c r="F55" s="636" t="s">
        <v>1093</v>
      </c>
      <c r="G55" s="239">
        <v>2562</v>
      </c>
      <c r="H55" s="238">
        <v>8482.0300000000007</v>
      </c>
      <c r="I55" s="239">
        <f t="shared" si="15"/>
        <v>-5920.0300000000007</v>
      </c>
      <c r="J55" s="238">
        <v>14402</v>
      </c>
      <c r="K55" s="238">
        <f t="shared" si="16"/>
        <v>16964</v>
      </c>
      <c r="L55" s="325">
        <f>K55*1.048</f>
        <v>17778.272000000001</v>
      </c>
      <c r="M55" s="325">
        <f>L55*1.044</f>
        <v>18560.515968000003</v>
      </c>
      <c r="N55" s="239">
        <f>M55*1.045</f>
        <v>19395.739186560004</v>
      </c>
    </row>
    <row r="56" spans="1:24" ht="18" customHeight="1" x14ac:dyDescent="0.25">
      <c r="A56" s="15" t="s">
        <v>522</v>
      </c>
      <c r="B56" s="15" t="s">
        <v>183</v>
      </c>
      <c r="C56" s="318" t="s">
        <v>313</v>
      </c>
      <c r="D56" s="314" t="s">
        <v>1057</v>
      </c>
      <c r="E56" s="318" t="s">
        <v>1124</v>
      </c>
      <c r="F56" s="377" t="s">
        <v>1093</v>
      </c>
      <c r="G56" s="238">
        <v>0</v>
      </c>
      <c r="H56" s="325"/>
      <c r="I56" s="239">
        <f t="shared" si="15"/>
        <v>0</v>
      </c>
      <c r="J56" s="238">
        <v>0</v>
      </c>
      <c r="K56" s="238">
        <f t="shared" si="16"/>
        <v>0</v>
      </c>
      <c r="L56" s="325">
        <f>30000-10000</f>
        <v>20000</v>
      </c>
      <c r="M56" s="325">
        <f>L56*1.044</f>
        <v>20880</v>
      </c>
      <c r="N56" s="237">
        <f>M56*1.045</f>
        <v>21819.599999999999</v>
      </c>
    </row>
    <row r="57" spans="1:24" x14ac:dyDescent="0.25">
      <c r="A57" s="131" t="s">
        <v>36</v>
      </c>
      <c r="B57" s="306" t="s">
        <v>585</v>
      </c>
      <c r="C57" s="659"/>
      <c r="D57" s="411"/>
      <c r="E57" s="412"/>
      <c r="F57" s="660"/>
      <c r="G57" s="676">
        <f t="shared" ref="G57:N57" si="18">SUM(G42:G56)</f>
        <v>7512343.3982300004</v>
      </c>
      <c r="H57" s="676">
        <f t="shared" si="18"/>
        <v>6893919.8114999989</v>
      </c>
      <c r="I57" s="676">
        <f t="shared" si="18"/>
        <v>618423.58672999975</v>
      </c>
      <c r="J57" s="676">
        <f t="shared" si="18"/>
        <v>2589130.8960939501</v>
      </c>
      <c r="K57" s="676">
        <f t="shared" si="18"/>
        <v>10101474.294323949</v>
      </c>
      <c r="L57" s="486">
        <f t="shared" si="18"/>
        <v>9146533.9443050418</v>
      </c>
      <c r="M57" s="677">
        <f t="shared" si="18"/>
        <v>9474453.7154544611</v>
      </c>
      <c r="N57" s="502">
        <f t="shared" si="18"/>
        <v>9758412.974228939</v>
      </c>
    </row>
    <row r="58" spans="1:24" x14ac:dyDescent="0.25">
      <c r="A58" s="131" t="s">
        <v>124</v>
      </c>
      <c r="B58" s="240"/>
      <c r="C58" s="394"/>
      <c r="D58" s="393"/>
      <c r="E58" s="393"/>
      <c r="F58" s="394"/>
      <c r="L58" s="418"/>
      <c r="M58" s="529"/>
      <c r="N58" s="538"/>
    </row>
    <row r="59" spans="1:24" ht="16.5" thickBot="1" x14ac:dyDescent="0.3">
      <c r="A59" s="131"/>
      <c r="B59" s="306" t="s">
        <v>586</v>
      </c>
      <c r="C59" s="550"/>
      <c r="D59" s="549"/>
      <c r="E59" s="549"/>
      <c r="F59" s="550"/>
      <c r="G59" s="678">
        <f t="shared" ref="G59:N59" si="19">G34+G40+G57</f>
        <v>17911609.288230002</v>
      </c>
      <c r="H59" s="678">
        <f t="shared" si="19"/>
        <v>12014332.991499998</v>
      </c>
      <c r="I59" s="678">
        <f t="shared" si="19"/>
        <v>5897276.2967299987</v>
      </c>
      <c r="J59" s="678">
        <f t="shared" si="19"/>
        <v>3899248.5054889503</v>
      </c>
      <c r="K59" s="678">
        <f t="shared" si="19"/>
        <v>21810857.793718949</v>
      </c>
      <c r="L59" s="678">
        <f t="shared" si="19"/>
        <v>21234152.237025045</v>
      </c>
      <c r="M59" s="678">
        <f t="shared" si="19"/>
        <v>22021154.973054141</v>
      </c>
      <c r="N59" s="678">
        <f t="shared" si="19"/>
        <v>22864959.946323168</v>
      </c>
    </row>
    <row r="60" spans="1:24" x14ac:dyDescent="0.25">
      <c r="A60" s="131"/>
      <c r="B60" s="393" t="s">
        <v>1280</v>
      </c>
      <c r="C60" s="394"/>
      <c r="D60" s="393"/>
      <c r="E60" s="393"/>
      <c r="F60" s="394"/>
      <c r="L60" s="418"/>
      <c r="M60" s="336"/>
      <c r="N60" s="336"/>
    </row>
    <row r="61" spans="1:24" hidden="1" x14ac:dyDescent="0.25">
      <c r="A61" s="15" t="s">
        <v>184</v>
      </c>
      <c r="B61" s="15" t="s">
        <v>126</v>
      </c>
      <c r="C61" s="337"/>
      <c r="D61" s="305"/>
      <c r="E61" s="419"/>
      <c r="F61" s="679"/>
      <c r="G61" s="339"/>
      <c r="H61" s="339"/>
      <c r="I61" s="339"/>
      <c r="J61" s="339"/>
      <c r="K61" s="339"/>
      <c r="L61" s="432"/>
      <c r="M61" s="344">
        <v>0</v>
      </c>
      <c r="N61" s="343">
        <v>0</v>
      </c>
    </row>
    <row r="62" spans="1:24" x14ac:dyDescent="0.25">
      <c r="A62" s="15"/>
      <c r="B62" s="360" t="s">
        <v>985</v>
      </c>
      <c r="C62" s="680"/>
      <c r="D62" s="420"/>
      <c r="E62" s="421"/>
      <c r="F62" s="681"/>
      <c r="G62" s="417">
        <v>0</v>
      </c>
      <c r="H62" s="417"/>
      <c r="I62" s="417"/>
      <c r="J62" s="417"/>
      <c r="K62" s="417"/>
      <c r="L62" s="529">
        <f>90000-30000</f>
        <v>60000</v>
      </c>
      <c r="M62" s="529">
        <v>0</v>
      </c>
      <c r="N62" s="529">
        <v>0</v>
      </c>
    </row>
    <row r="63" spans="1:24" x14ac:dyDescent="0.25">
      <c r="A63" s="131"/>
      <c r="B63" s="393" t="s">
        <v>1281</v>
      </c>
      <c r="C63" s="518"/>
      <c r="D63" s="412"/>
      <c r="E63" s="412"/>
      <c r="F63" s="518"/>
      <c r="G63" s="417">
        <f t="shared" ref="G63:N63" si="20">SUM(G61:G62)</f>
        <v>0</v>
      </c>
      <c r="H63" s="417"/>
      <c r="I63" s="417"/>
      <c r="J63" s="417"/>
      <c r="K63" s="417"/>
      <c r="L63" s="414">
        <f>SUM(L61:L62)</f>
        <v>60000</v>
      </c>
      <c r="M63" s="529">
        <f t="shared" si="20"/>
        <v>0</v>
      </c>
      <c r="N63" s="682">
        <f t="shared" si="20"/>
        <v>0</v>
      </c>
    </row>
    <row r="64" spans="1:24" x14ac:dyDescent="0.25">
      <c r="A64" s="446"/>
      <c r="B64" s="240"/>
      <c r="C64" s="394"/>
      <c r="D64" s="393"/>
      <c r="E64" s="393"/>
      <c r="F64" s="394"/>
      <c r="N64" s="241"/>
    </row>
    <row r="65" spans="1:14" ht="16.5" thickBot="1" x14ac:dyDescent="0.3">
      <c r="A65" s="240"/>
      <c r="B65" s="240"/>
      <c r="C65" s="550"/>
      <c r="D65" s="549"/>
      <c r="E65" s="549"/>
      <c r="F65" s="550"/>
      <c r="G65" s="506">
        <f t="shared" ref="G65:N65" si="21">G59+G63</f>
        <v>17911609.288230002</v>
      </c>
      <c r="H65" s="506">
        <f t="shared" si="21"/>
        <v>12014332.991499998</v>
      </c>
      <c r="I65" s="506">
        <f t="shared" si="21"/>
        <v>5897276.2967299987</v>
      </c>
      <c r="J65" s="506">
        <f t="shared" si="21"/>
        <v>3899248.5054889503</v>
      </c>
      <c r="K65" s="506">
        <f t="shared" si="21"/>
        <v>21810857.793718949</v>
      </c>
      <c r="L65" s="506">
        <f t="shared" si="21"/>
        <v>21294152.237025045</v>
      </c>
      <c r="M65" s="506">
        <f t="shared" si="21"/>
        <v>22021154.973054141</v>
      </c>
      <c r="N65" s="506">
        <f t="shared" si="21"/>
        <v>22864959.946323168</v>
      </c>
    </row>
    <row r="66" spans="1:14" x14ac:dyDescent="0.25">
      <c r="A66" s="240"/>
      <c r="B66" s="393" t="s">
        <v>1282</v>
      </c>
      <c r="C66" s="394"/>
      <c r="D66" s="393"/>
      <c r="E66" s="393"/>
      <c r="F66" s="394"/>
      <c r="N66" s="241"/>
    </row>
    <row r="67" spans="1:14" x14ac:dyDescent="0.25">
      <c r="A67" s="16" t="s">
        <v>326</v>
      </c>
      <c r="B67" s="16" t="s">
        <v>325</v>
      </c>
      <c r="C67" s="683"/>
      <c r="D67" s="427"/>
      <c r="E67" s="427"/>
      <c r="F67" s="490"/>
      <c r="G67" s="341">
        <v>-3064160.45</v>
      </c>
      <c r="H67" s="339"/>
      <c r="I67" s="339">
        <f>SUM(G67-H67)</f>
        <v>-3064160.45</v>
      </c>
      <c r="J67" s="339"/>
      <c r="K67" s="339">
        <f>SUM(G67+J67)</f>
        <v>-3064160.45</v>
      </c>
      <c r="L67" s="359"/>
      <c r="M67" s="344">
        <v>-3507974.5280000004</v>
      </c>
      <c r="N67" s="343">
        <v>-3653095.3191200006</v>
      </c>
    </row>
    <row r="68" spans="1:14" x14ac:dyDescent="0.25">
      <c r="A68" s="15" t="s">
        <v>185</v>
      </c>
      <c r="B68" s="15" t="s">
        <v>186</v>
      </c>
      <c r="C68" s="317"/>
      <c r="D68" s="375"/>
      <c r="E68" s="375"/>
      <c r="F68" s="377"/>
      <c r="G68" s="313">
        <v>-3000</v>
      </c>
      <c r="H68" s="311">
        <v>-5600</v>
      </c>
      <c r="I68" s="311">
        <f t="shared" ref="I68:I72" si="22">SUM(G68-H68)</f>
        <v>2600</v>
      </c>
      <c r="J68" s="311"/>
      <c r="K68" s="311">
        <f t="shared" ref="K68:K72" si="23">SUM(G68+J68)</f>
        <v>-3000</v>
      </c>
      <c r="L68" s="325">
        <v>-6500</v>
      </c>
      <c r="M68" s="238">
        <f>L68*1.044</f>
        <v>-6786</v>
      </c>
      <c r="N68" s="237">
        <f>M68*1.045</f>
        <v>-7091.37</v>
      </c>
    </row>
    <row r="69" spans="1:14" x14ac:dyDescent="0.25">
      <c r="A69" s="15" t="s">
        <v>187</v>
      </c>
      <c r="B69" s="15" t="s">
        <v>188</v>
      </c>
      <c r="C69" s="317"/>
      <c r="D69" s="375"/>
      <c r="E69" s="375"/>
      <c r="F69" s="377"/>
      <c r="G69" s="313">
        <v>-197410</v>
      </c>
      <c r="H69" s="311">
        <v>-104201.59</v>
      </c>
      <c r="I69" s="311">
        <f t="shared" si="22"/>
        <v>-93208.41</v>
      </c>
      <c r="J69" s="311">
        <v>-10993</v>
      </c>
      <c r="K69" s="311">
        <f t="shared" si="23"/>
        <v>-208403</v>
      </c>
      <c r="L69" s="325">
        <v>-216093</v>
      </c>
      <c r="M69" s="238">
        <f>L69*1.044</f>
        <v>-225601.092</v>
      </c>
      <c r="N69" s="237">
        <f>M69*1.045</f>
        <v>-235753.14113999999</v>
      </c>
    </row>
    <row r="70" spans="1:14" x14ac:dyDescent="0.25">
      <c r="A70" s="15" t="s">
        <v>189</v>
      </c>
      <c r="B70" s="15" t="s">
        <v>190</v>
      </c>
      <c r="C70" s="317"/>
      <c r="D70" s="375"/>
      <c r="E70" s="375"/>
      <c r="F70" s="377"/>
      <c r="G70" s="313">
        <v>-1221094.8999999999</v>
      </c>
      <c r="H70" s="311">
        <v>-884230.46</v>
      </c>
      <c r="I70" s="311">
        <f t="shared" si="22"/>
        <v>-336864.43999999994</v>
      </c>
      <c r="J70" s="311">
        <v>-547365.88</v>
      </c>
      <c r="K70" s="311">
        <f t="shared" si="23"/>
        <v>-1768460.7799999998</v>
      </c>
      <c r="L70" s="325">
        <v>-1833712</v>
      </c>
      <c r="M70" s="238">
        <f>L70*1.044</f>
        <v>-1914395.328</v>
      </c>
      <c r="N70" s="237">
        <f>M70*1.045</f>
        <v>-2000543.1177599998</v>
      </c>
    </row>
    <row r="71" spans="1:14" x14ac:dyDescent="0.25">
      <c r="A71" s="15" t="s">
        <v>191</v>
      </c>
      <c r="B71" s="15" t="s">
        <v>192</v>
      </c>
      <c r="C71" s="317"/>
      <c r="D71" s="375"/>
      <c r="E71" s="375"/>
      <c r="F71" s="377"/>
      <c r="G71" s="684">
        <v>-2300000</v>
      </c>
      <c r="H71" s="685">
        <v>-2300000</v>
      </c>
      <c r="I71" s="685">
        <f t="shared" si="22"/>
        <v>0</v>
      </c>
      <c r="J71" s="685"/>
      <c r="K71" s="685">
        <f t="shared" si="23"/>
        <v>-2300000</v>
      </c>
      <c r="L71" s="224">
        <v>-2300000</v>
      </c>
      <c r="M71" s="224">
        <v>-2300000</v>
      </c>
      <c r="N71" s="224">
        <v>-2300000</v>
      </c>
    </row>
    <row r="72" spans="1:14" x14ac:dyDescent="0.25">
      <c r="A72" s="15" t="s">
        <v>193</v>
      </c>
      <c r="B72" s="15" t="s">
        <v>194</v>
      </c>
      <c r="C72" s="686"/>
      <c r="D72" s="687"/>
      <c r="E72" s="687"/>
      <c r="F72" s="483"/>
      <c r="G72" s="685">
        <v>-126106000</v>
      </c>
      <c r="H72" s="685">
        <v>-93669000</v>
      </c>
      <c r="I72" s="685">
        <f t="shared" si="22"/>
        <v>-32437000</v>
      </c>
      <c r="J72" s="685">
        <v>-93669000</v>
      </c>
      <c r="K72" s="685">
        <f t="shared" si="23"/>
        <v>-219775000</v>
      </c>
      <c r="L72" s="224">
        <v>-130459000</v>
      </c>
      <c r="M72" s="224">
        <v>-135676000</v>
      </c>
      <c r="N72" s="224">
        <v>-141290000</v>
      </c>
    </row>
    <row r="73" spans="1:14" x14ac:dyDescent="0.25">
      <c r="A73" s="131"/>
      <c r="B73" s="393" t="s">
        <v>1283</v>
      </c>
      <c r="C73" s="659"/>
      <c r="D73" s="412"/>
      <c r="E73" s="412"/>
      <c r="F73" s="660"/>
      <c r="G73" s="688">
        <f t="shared" ref="G73:N73" si="24">SUM(G67:G72)</f>
        <v>-132891665.34999999</v>
      </c>
      <c r="H73" s="688">
        <f t="shared" si="24"/>
        <v>-96963032.049999997</v>
      </c>
      <c r="I73" s="688">
        <f t="shared" si="24"/>
        <v>-35928633.299999997</v>
      </c>
      <c r="J73" s="688">
        <f t="shared" si="24"/>
        <v>-94227358.879999995</v>
      </c>
      <c r="K73" s="688">
        <f t="shared" si="24"/>
        <v>-227119024.22999999</v>
      </c>
      <c r="L73" s="688">
        <f t="shared" si="24"/>
        <v>-134815305</v>
      </c>
      <c r="M73" s="688">
        <f t="shared" si="24"/>
        <v>-143630756.94800001</v>
      </c>
      <c r="N73" s="640">
        <f t="shared" si="24"/>
        <v>-149486482.94802001</v>
      </c>
    </row>
    <row r="74" spans="1:14" x14ac:dyDescent="0.25">
      <c r="A74" s="131"/>
      <c r="B74" s="240"/>
      <c r="C74" s="394"/>
      <c r="D74" s="393"/>
      <c r="E74" s="393"/>
      <c r="F74" s="394"/>
    </row>
    <row r="75" spans="1:14" x14ac:dyDescent="0.25">
      <c r="A75" s="446"/>
      <c r="B75" s="240"/>
      <c r="C75" s="394"/>
      <c r="D75" s="393"/>
      <c r="E75" s="393"/>
      <c r="F75" s="394"/>
    </row>
  </sheetData>
  <sortState xmlns:xlrd2="http://schemas.microsoft.com/office/spreadsheetml/2017/richdata2" ref="B43:N56">
    <sortCondition ref="B42:B56"/>
  </sortState>
  <mergeCells count="1">
    <mergeCell ref="B1:N4"/>
  </mergeCells>
  <phoneticPr fontId="48" type="noConversion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419F1-248A-42F6-859C-30F59B40A46E}">
  <sheetPr>
    <tabColor rgb="FF7030A0"/>
    <pageSetUpPr fitToPage="1"/>
  </sheetPr>
  <dimension ref="A1:S60"/>
  <sheetViews>
    <sheetView view="pageBreakPreview" topLeftCell="B38" zoomScale="80" zoomScaleNormal="394" zoomScaleSheetLayoutView="80" workbookViewId="0">
      <pane xSplit="1" topLeftCell="C1" activePane="topRight" state="frozen"/>
      <selection activeCell="B1" sqref="B1"/>
      <selection pane="topRight" activeCell="B58" sqref="B58"/>
    </sheetView>
  </sheetViews>
  <sheetFormatPr defaultColWidth="9.140625" defaultRowHeight="15.75" x14ac:dyDescent="0.25"/>
  <cols>
    <col min="1" max="1" width="54.140625" style="240" hidden="1" customWidth="1"/>
    <col min="2" max="2" width="54.5703125" style="240" customWidth="1"/>
    <col min="3" max="3" width="30.28515625" style="393" hidden="1" customWidth="1"/>
    <col min="4" max="4" width="17.5703125" style="393" hidden="1" customWidth="1"/>
    <col min="5" max="5" width="48.140625" style="393" hidden="1" customWidth="1"/>
    <col min="6" max="6" width="25" style="394" hidden="1" customWidth="1"/>
    <col min="7" max="7" width="17.5703125" style="241" customWidth="1"/>
    <col min="8" max="9" width="17.5703125" style="241" hidden="1" customWidth="1"/>
    <col min="10" max="12" width="17.5703125" style="241" customWidth="1"/>
    <col min="13" max="13" width="16.140625" style="241" bestFit="1" customWidth="1"/>
    <col min="14" max="14" width="17.5703125" style="241" customWidth="1"/>
    <col min="15" max="15" width="9.140625" style="17" hidden="1" customWidth="1"/>
    <col min="16" max="16" width="15.85546875" style="17" hidden="1" customWidth="1"/>
    <col min="17" max="19" width="9.140625" style="17" customWidth="1"/>
    <col min="20" max="16384" width="9.140625" style="17"/>
  </cols>
  <sheetData>
    <row r="1" spans="1:16" ht="45.75" customHeight="1" x14ac:dyDescent="0.25">
      <c r="A1" s="507" t="s">
        <v>490</v>
      </c>
      <c r="B1" s="922" t="s">
        <v>1005</v>
      </c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</row>
    <row r="2" spans="1:16" ht="12.75" customHeight="1" x14ac:dyDescent="0.25">
      <c r="A2" s="128" t="s">
        <v>0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</row>
    <row r="3" spans="1:16" ht="12.75" customHeight="1" x14ac:dyDescent="0.25">
      <c r="A3" s="126"/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</row>
    <row r="4" spans="1:16" ht="0.75" customHeight="1" thickBot="1" x14ac:dyDescent="0.3">
      <c r="A4" s="129" t="s">
        <v>1</v>
      </c>
      <c r="B4" s="922"/>
      <c r="C4" s="922"/>
      <c r="D4" s="922"/>
      <c r="E4" s="922"/>
      <c r="F4" s="922"/>
      <c r="G4" s="922"/>
      <c r="H4" s="922"/>
      <c r="I4" s="922"/>
      <c r="J4" s="922"/>
      <c r="K4" s="922"/>
      <c r="L4" s="922"/>
      <c r="M4" s="922"/>
      <c r="N4" s="922"/>
    </row>
    <row r="5" spans="1:16" ht="82.5" customHeight="1" thickBot="1" x14ac:dyDescent="0.3">
      <c r="A5" s="130" t="s">
        <v>2</v>
      </c>
      <c r="B5" s="300"/>
      <c r="C5" s="301" t="s">
        <v>1030</v>
      </c>
      <c r="D5" s="301" t="s">
        <v>1031</v>
      </c>
      <c r="E5" s="301" t="s">
        <v>306</v>
      </c>
      <c r="F5" s="302" t="s">
        <v>1032</v>
      </c>
      <c r="G5" s="689" t="s">
        <v>1028</v>
      </c>
      <c r="H5" s="214" t="s">
        <v>983</v>
      </c>
      <c r="I5" s="214" t="s">
        <v>1027</v>
      </c>
      <c r="J5" s="214" t="s">
        <v>631</v>
      </c>
      <c r="K5" s="214" t="s">
        <v>1274</v>
      </c>
      <c r="L5" s="304" t="s">
        <v>932</v>
      </c>
      <c r="M5" s="304" t="s">
        <v>996</v>
      </c>
      <c r="N5" s="215" t="s">
        <v>1296</v>
      </c>
    </row>
    <row r="6" spans="1:16" x14ac:dyDescent="0.25">
      <c r="A6" s="131"/>
      <c r="B6" s="393" t="s">
        <v>548</v>
      </c>
      <c r="C6" s="307"/>
      <c r="D6" s="307"/>
      <c r="E6" s="374"/>
      <c r="F6" s="384"/>
      <c r="G6" s="311"/>
      <c r="H6" s="311"/>
      <c r="I6" s="311"/>
      <c r="J6" s="311"/>
      <c r="K6" s="311"/>
      <c r="L6" s="457"/>
      <c r="M6" s="238"/>
      <c r="N6" s="238"/>
    </row>
    <row r="7" spans="1:16" hidden="1" x14ac:dyDescent="0.25">
      <c r="A7" s="131"/>
      <c r="B7" s="393"/>
      <c r="C7" s="307"/>
      <c r="D7" s="307"/>
      <c r="E7" s="374"/>
      <c r="F7" s="384"/>
      <c r="G7" s="311"/>
      <c r="H7" s="311"/>
      <c r="I7" s="311"/>
      <c r="J7" s="311"/>
      <c r="K7" s="311"/>
      <c r="L7" s="457"/>
      <c r="M7" s="238"/>
      <c r="N7" s="238"/>
    </row>
    <row r="8" spans="1:16" x14ac:dyDescent="0.25">
      <c r="A8" s="131"/>
      <c r="B8" s="393" t="s">
        <v>549</v>
      </c>
      <c r="C8" s="307"/>
      <c r="D8" s="307"/>
      <c r="E8" s="374"/>
      <c r="F8" s="384"/>
      <c r="G8" s="311"/>
      <c r="H8" s="311"/>
      <c r="I8" s="311"/>
      <c r="J8" s="311"/>
      <c r="K8" s="311"/>
      <c r="L8" s="457"/>
      <c r="M8" s="238"/>
      <c r="N8" s="238"/>
    </row>
    <row r="9" spans="1:16" x14ac:dyDescent="0.25">
      <c r="A9" s="15" t="s">
        <v>142</v>
      </c>
      <c r="B9" s="240" t="s">
        <v>11</v>
      </c>
      <c r="C9" s="307"/>
      <c r="D9" s="307"/>
      <c r="E9" s="374"/>
      <c r="F9" s="384"/>
      <c r="G9" s="311">
        <v>2164935</v>
      </c>
      <c r="H9" s="311">
        <f>1687163.48-589533.04</f>
        <v>1097630.44</v>
      </c>
      <c r="I9" s="311">
        <f>SUM(G9-H9)</f>
        <v>1067304.56</v>
      </c>
      <c r="J9" s="311">
        <v>91327</v>
      </c>
      <c r="K9" s="311">
        <f>SUM(G9+J9)</f>
        <v>2256262</v>
      </c>
      <c r="L9" s="325">
        <v>2283403</v>
      </c>
      <c r="M9" s="238">
        <v>2383873</v>
      </c>
      <c r="N9" s="238">
        <v>2491147</v>
      </c>
      <c r="O9" s="17">
        <v>2263793.4397199992</v>
      </c>
      <c r="P9" s="515">
        <f>SUM(O9-N9)</f>
        <v>-227353.56028000079</v>
      </c>
    </row>
    <row r="10" spans="1:16" x14ac:dyDescent="0.25">
      <c r="A10" s="15" t="s">
        <v>516</v>
      </c>
      <c r="B10" s="650" t="s">
        <v>448</v>
      </c>
      <c r="C10" s="626"/>
      <c r="D10" s="626"/>
      <c r="E10" s="652"/>
      <c r="F10" s="653"/>
      <c r="G10" s="311">
        <v>6000</v>
      </c>
      <c r="H10" s="311">
        <f>7245.56-5173.98</f>
        <v>2071.5800000000008</v>
      </c>
      <c r="I10" s="311">
        <f t="shared" ref="I10:I17" si="0">SUM(G10-H10)</f>
        <v>3928.4199999999992</v>
      </c>
      <c r="J10" s="311">
        <v>0</v>
      </c>
      <c r="K10" s="311">
        <f t="shared" ref="K10:K17" si="1">SUM(G10+J10)</f>
        <v>6000</v>
      </c>
      <c r="L10" s="325">
        <v>12125</v>
      </c>
      <c r="M10" s="238">
        <f>L10*1.044</f>
        <v>12658.5</v>
      </c>
      <c r="N10" s="238">
        <f>M10*1.045</f>
        <v>13228.1325</v>
      </c>
      <c r="P10" s="515">
        <f t="shared" ref="P10:P25" si="2">SUM(O10-N10)</f>
        <v>-13228.1325</v>
      </c>
    </row>
    <row r="11" spans="1:16" ht="13.5" customHeight="1" x14ac:dyDescent="0.25">
      <c r="A11" s="15" t="s">
        <v>149</v>
      </c>
      <c r="B11" s="240" t="s">
        <v>25</v>
      </c>
      <c r="C11" s="307"/>
      <c r="D11" s="307"/>
      <c r="E11" s="374"/>
      <c r="F11" s="384"/>
      <c r="G11" s="311">
        <v>26400</v>
      </c>
      <c r="H11" s="311">
        <f>34600-13600</f>
        <v>21000</v>
      </c>
      <c r="I11" s="311">
        <f t="shared" si="0"/>
        <v>5400</v>
      </c>
      <c r="J11" s="311">
        <v>15600</v>
      </c>
      <c r="K11" s="311">
        <f t="shared" si="1"/>
        <v>42000</v>
      </c>
      <c r="L11" s="325">
        <v>42000</v>
      </c>
      <c r="M11" s="238">
        <v>42000</v>
      </c>
      <c r="N11" s="238">
        <v>42000</v>
      </c>
      <c r="O11" s="17">
        <v>42000</v>
      </c>
      <c r="P11" s="515">
        <f t="shared" si="2"/>
        <v>0</v>
      </c>
    </row>
    <row r="12" spans="1:16" x14ac:dyDescent="0.25">
      <c r="A12" s="15" t="s">
        <v>150</v>
      </c>
      <c r="B12" s="240" t="s">
        <v>27</v>
      </c>
      <c r="C12" s="307"/>
      <c r="D12" s="307"/>
      <c r="E12" s="374"/>
      <c r="F12" s="384"/>
      <c r="G12" s="311">
        <v>466968</v>
      </c>
      <c r="H12" s="311">
        <f>364363.97-101041.9</f>
        <v>263322.06999999995</v>
      </c>
      <c r="I12" s="311">
        <f t="shared" si="0"/>
        <v>203645.93000000005</v>
      </c>
      <c r="J12" s="311">
        <v>78996.359999999986</v>
      </c>
      <c r="K12" s="311">
        <f t="shared" si="1"/>
        <v>545964.36</v>
      </c>
      <c r="L12" s="325">
        <v>552630</v>
      </c>
      <c r="M12" s="238">
        <v>552630</v>
      </c>
      <c r="N12" s="238">
        <v>552630</v>
      </c>
      <c r="O12" s="17">
        <v>545964.36</v>
      </c>
      <c r="P12" s="515">
        <f t="shared" si="2"/>
        <v>-6665.640000000014</v>
      </c>
    </row>
    <row r="13" spans="1:16" x14ac:dyDescent="0.25">
      <c r="A13" s="15" t="s">
        <v>151</v>
      </c>
      <c r="B13" s="240" t="s">
        <v>76</v>
      </c>
      <c r="C13" s="307"/>
      <c r="D13" s="307"/>
      <c r="E13" s="374"/>
      <c r="F13" s="384"/>
      <c r="G13" s="311">
        <v>11574</v>
      </c>
      <c r="H13" s="311">
        <v>5787.06</v>
      </c>
      <c r="I13" s="311">
        <f t="shared" si="0"/>
        <v>5786.94</v>
      </c>
      <c r="J13" s="311">
        <v>0.11999999999898137</v>
      </c>
      <c r="K13" s="311">
        <f t="shared" si="1"/>
        <v>11574.119999999999</v>
      </c>
      <c r="L13" s="325">
        <v>11574</v>
      </c>
      <c r="M13" s="238">
        <v>11574</v>
      </c>
      <c r="N13" s="238">
        <v>11574</v>
      </c>
      <c r="O13" s="17">
        <v>11574.119999999999</v>
      </c>
      <c r="P13" s="515">
        <f t="shared" si="2"/>
        <v>0.11999999999898137</v>
      </c>
    </row>
    <row r="14" spans="1:16" x14ac:dyDescent="0.25">
      <c r="A14" s="15" t="s">
        <v>152</v>
      </c>
      <c r="B14" s="240" t="s">
        <v>31</v>
      </c>
      <c r="C14" s="307"/>
      <c r="D14" s="307"/>
      <c r="E14" s="374"/>
      <c r="F14" s="384"/>
      <c r="G14" s="311">
        <v>180411</v>
      </c>
      <c r="H14" s="311">
        <f>182521.56-35993.29</f>
        <v>146528.26999999999</v>
      </c>
      <c r="I14" s="311">
        <f t="shared" si="0"/>
        <v>33882.73000000001</v>
      </c>
      <c r="J14" s="311">
        <v>7611</v>
      </c>
      <c r="K14" s="311">
        <f t="shared" si="1"/>
        <v>188022</v>
      </c>
      <c r="L14" s="325">
        <v>190284</v>
      </c>
      <c r="M14" s="238">
        <v>198656</v>
      </c>
      <c r="N14" s="238">
        <v>207596</v>
      </c>
      <c r="O14" s="17">
        <v>188649.45330999992</v>
      </c>
      <c r="P14" s="515">
        <f t="shared" si="2"/>
        <v>-18946.546690000076</v>
      </c>
    </row>
    <row r="15" spans="1:16" x14ac:dyDescent="0.25">
      <c r="A15" s="15" t="s">
        <v>153</v>
      </c>
      <c r="B15" s="242" t="s">
        <v>123</v>
      </c>
      <c r="C15" s="441"/>
      <c r="D15" s="441"/>
      <c r="E15" s="633"/>
      <c r="F15" s="637"/>
      <c r="G15" s="311">
        <v>14549</v>
      </c>
      <c r="H15" s="311">
        <v>0</v>
      </c>
      <c r="I15" s="311">
        <f t="shared" si="0"/>
        <v>14549</v>
      </c>
      <c r="J15" s="311">
        <v>0</v>
      </c>
      <c r="K15" s="311">
        <f t="shared" si="1"/>
        <v>14549</v>
      </c>
      <c r="L15" s="325">
        <f>K15*1.048</f>
        <v>15247.352000000001</v>
      </c>
      <c r="M15" s="238">
        <f>L15*1.044</f>
        <v>15918.235488000002</v>
      </c>
      <c r="N15" s="238">
        <f>M15*1.045</f>
        <v>16634.556084960001</v>
      </c>
      <c r="P15" s="515">
        <f t="shared" si="2"/>
        <v>-16634.556084960001</v>
      </c>
    </row>
    <row r="16" spans="1:16" x14ac:dyDescent="0.25">
      <c r="A16" s="15"/>
      <c r="B16" s="212" t="s">
        <v>545</v>
      </c>
      <c r="C16" s="321"/>
      <c r="D16" s="321"/>
      <c r="E16" s="690"/>
      <c r="F16" s="691"/>
      <c r="G16" s="311">
        <v>20213</v>
      </c>
      <c r="H16" s="311">
        <v>0</v>
      </c>
      <c r="I16" s="311">
        <f t="shared" si="0"/>
        <v>20213</v>
      </c>
      <c r="J16" s="311">
        <v>0</v>
      </c>
      <c r="K16" s="311">
        <f t="shared" si="1"/>
        <v>20213</v>
      </c>
      <c r="L16" s="325">
        <f>K16*1.048</f>
        <v>21183.224000000002</v>
      </c>
      <c r="M16" s="238">
        <f>L16*1.044</f>
        <v>22115.285856000002</v>
      </c>
      <c r="N16" s="238">
        <f>M16*1.045</f>
        <v>23110.47371952</v>
      </c>
      <c r="P16" s="515">
        <f t="shared" si="2"/>
        <v>-23110.47371952</v>
      </c>
    </row>
    <row r="17" spans="1:19" x14ac:dyDescent="0.25">
      <c r="A17" s="15" t="s">
        <v>373</v>
      </c>
      <c r="B17" s="242" t="s">
        <v>328</v>
      </c>
      <c r="C17" s="441"/>
      <c r="D17" s="441"/>
      <c r="E17" s="633"/>
      <c r="F17" s="637"/>
      <c r="G17" s="311">
        <v>10000</v>
      </c>
      <c r="H17" s="345">
        <v>0</v>
      </c>
      <c r="I17" s="345">
        <f t="shared" si="0"/>
        <v>10000</v>
      </c>
      <c r="J17" s="345">
        <v>0</v>
      </c>
      <c r="K17" s="345">
        <f t="shared" si="1"/>
        <v>10000</v>
      </c>
      <c r="L17" s="326">
        <v>0</v>
      </c>
      <c r="M17" s="348">
        <v>0</v>
      </c>
      <c r="N17" s="348">
        <v>0</v>
      </c>
      <c r="P17" s="515">
        <f t="shared" si="2"/>
        <v>0</v>
      </c>
    </row>
    <row r="18" spans="1:19" x14ac:dyDescent="0.25">
      <c r="A18" s="131"/>
      <c r="B18" s="306" t="s">
        <v>552</v>
      </c>
      <c r="C18" s="411"/>
      <c r="D18" s="415"/>
      <c r="E18" s="412"/>
      <c r="F18" s="660"/>
      <c r="G18" s="413">
        <f>SUM(G9:G17)</f>
        <v>2901050</v>
      </c>
      <c r="H18" s="331">
        <f t="shared" ref="H18:N18" si="3">SUM(H9:H17)</f>
        <v>1536339.42</v>
      </c>
      <c r="I18" s="331">
        <f t="shared" si="3"/>
        <v>1364710.58</v>
      </c>
      <c r="J18" s="331">
        <f t="shared" si="3"/>
        <v>193534.47999999998</v>
      </c>
      <c r="K18" s="331">
        <f t="shared" si="3"/>
        <v>3094584.48</v>
      </c>
      <c r="L18" s="414">
        <f t="shared" si="3"/>
        <v>3128446.5759999999</v>
      </c>
      <c r="M18" s="414">
        <f t="shared" si="3"/>
        <v>3239425.021344</v>
      </c>
      <c r="N18" s="414">
        <f t="shared" si="3"/>
        <v>3357920.1623044801</v>
      </c>
      <c r="P18" s="515">
        <f t="shared" si="2"/>
        <v>-3357920.1623044801</v>
      </c>
    </row>
    <row r="19" spans="1:19" x14ac:dyDescent="0.25">
      <c r="A19" s="131"/>
      <c r="L19" s="418"/>
      <c r="M19" s="336"/>
      <c r="N19" s="336"/>
      <c r="P19" s="515">
        <f t="shared" si="2"/>
        <v>0</v>
      </c>
    </row>
    <row r="20" spans="1:19" x14ac:dyDescent="0.25">
      <c r="A20" s="131"/>
      <c r="B20" s="306" t="s">
        <v>553</v>
      </c>
      <c r="L20" s="418"/>
      <c r="M20" s="336"/>
      <c r="N20" s="336"/>
      <c r="P20" s="515">
        <f t="shared" si="2"/>
        <v>0</v>
      </c>
    </row>
    <row r="21" spans="1:19" x14ac:dyDescent="0.25">
      <c r="A21" s="15" t="s">
        <v>143</v>
      </c>
      <c r="B21" s="240" t="s">
        <v>13</v>
      </c>
      <c r="C21" s="437"/>
      <c r="D21" s="437"/>
      <c r="E21" s="371"/>
      <c r="F21" s="667"/>
      <c r="G21" s="339">
        <v>356</v>
      </c>
      <c r="H21" s="339">
        <f>244.8-61</f>
        <v>183.8</v>
      </c>
      <c r="I21" s="339">
        <f>SUM(G21-H21)</f>
        <v>172.2</v>
      </c>
      <c r="J21" s="339">
        <v>14.800000000000011</v>
      </c>
      <c r="K21" s="339">
        <f>SUM(G21+J21)</f>
        <v>370.8</v>
      </c>
      <c r="L21" s="359">
        <v>494</v>
      </c>
      <c r="M21" s="344">
        <v>494</v>
      </c>
      <c r="N21" s="344">
        <v>494</v>
      </c>
      <c r="O21" s="17">
        <v>370.8</v>
      </c>
      <c r="P21" s="515">
        <f t="shared" si="2"/>
        <v>-123.19999999999999</v>
      </c>
    </row>
    <row r="22" spans="1:19" x14ac:dyDescent="0.25">
      <c r="A22" s="15" t="s">
        <v>144</v>
      </c>
      <c r="B22" s="240" t="s">
        <v>15</v>
      </c>
      <c r="C22" s="307"/>
      <c r="D22" s="307"/>
      <c r="E22" s="374"/>
      <c r="F22" s="384"/>
      <c r="G22" s="311">
        <v>154946</v>
      </c>
      <c r="H22" s="311">
        <f>117096-46540.2</f>
        <v>70555.8</v>
      </c>
      <c r="I22" s="311">
        <f t="shared" ref="I22:I24" si="4">SUM(G22-H22)</f>
        <v>84390.2</v>
      </c>
      <c r="J22" s="311">
        <v>30875</v>
      </c>
      <c r="K22" s="311">
        <f t="shared" ref="K22:K24" si="5">SUM(G22+J22)</f>
        <v>185821</v>
      </c>
      <c r="L22" s="325">
        <v>201284</v>
      </c>
      <c r="M22" s="238">
        <v>221413</v>
      </c>
      <c r="N22" s="238">
        <v>243554</v>
      </c>
      <c r="O22" s="17">
        <v>156608.75999999998</v>
      </c>
      <c r="P22" s="515">
        <f t="shared" si="2"/>
        <v>-86945.24000000002</v>
      </c>
    </row>
    <row r="23" spans="1:19" x14ac:dyDescent="0.25">
      <c r="A23" s="15" t="s">
        <v>145</v>
      </c>
      <c r="B23" s="240" t="s">
        <v>17</v>
      </c>
      <c r="C23" s="307"/>
      <c r="D23" s="307"/>
      <c r="E23" s="374"/>
      <c r="F23" s="384"/>
      <c r="G23" s="311">
        <v>390637</v>
      </c>
      <c r="H23" s="311">
        <f>294848.07-102567.51</f>
        <v>192280.56</v>
      </c>
      <c r="I23" s="311">
        <f t="shared" si="4"/>
        <v>198356.44</v>
      </c>
      <c r="J23" s="311">
        <v>16473</v>
      </c>
      <c r="K23" s="311">
        <f t="shared" si="5"/>
        <v>407110</v>
      </c>
      <c r="L23" s="325">
        <v>412019</v>
      </c>
      <c r="M23" s="238">
        <v>430148</v>
      </c>
      <c r="N23" s="238">
        <v>449505</v>
      </c>
      <c r="O23" s="17">
        <v>408480.97979999991</v>
      </c>
      <c r="P23" s="515">
        <f t="shared" si="2"/>
        <v>-41024.020200000086</v>
      </c>
    </row>
    <row r="24" spans="1:19" ht="16.5" thickBot="1" x14ac:dyDescent="0.3">
      <c r="A24" s="15" t="s">
        <v>146</v>
      </c>
      <c r="B24" s="240" t="s">
        <v>19</v>
      </c>
      <c r="C24" s="433"/>
      <c r="D24" s="433"/>
      <c r="E24" s="386"/>
      <c r="F24" s="387"/>
      <c r="G24" s="345">
        <v>7139</v>
      </c>
      <c r="H24" s="345">
        <f>5353.92-1784.64</f>
        <v>3569.2799999999997</v>
      </c>
      <c r="I24" s="345">
        <f t="shared" si="4"/>
        <v>3569.7200000000003</v>
      </c>
      <c r="J24" s="345">
        <v>0</v>
      </c>
      <c r="K24" s="345">
        <f t="shared" si="5"/>
        <v>7139</v>
      </c>
      <c r="L24" s="326">
        <v>7139</v>
      </c>
      <c r="M24" s="348">
        <v>7139</v>
      </c>
      <c r="N24" s="238">
        <v>7139</v>
      </c>
      <c r="O24" s="692">
        <v>7138.5599999999995</v>
      </c>
      <c r="P24" s="515">
        <f t="shared" si="2"/>
        <v>-0.44000000000050932</v>
      </c>
    </row>
    <row r="25" spans="1:19" ht="16.5" thickTop="1" x14ac:dyDescent="0.25">
      <c r="A25" s="131"/>
      <c r="B25" s="306" t="s">
        <v>554</v>
      </c>
      <c r="C25" s="433"/>
      <c r="D25" s="433"/>
      <c r="E25" s="386"/>
      <c r="F25" s="387"/>
      <c r="G25" s="500">
        <f t="shared" ref="G25:N25" si="6">SUM(G21:G24)</f>
        <v>553078</v>
      </c>
      <c r="H25" s="562">
        <f t="shared" si="6"/>
        <v>266589.44000000006</v>
      </c>
      <c r="I25" s="562">
        <f t="shared" si="6"/>
        <v>286488.55999999994</v>
      </c>
      <c r="J25" s="562">
        <f t="shared" si="6"/>
        <v>47362.8</v>
      </c>
      <c r="K25" s="562">
        <f t="shared" si="6"/>
        <v>600440.80000000005</v>
      </c>
      <c r="L25" s="563">
        <f t="shared" si="6"/>
        <v>620936</v>
      </c>
      <c r="M25" s="563">
        <f t="shared" si="6"/>
        <v>659194</v>
      </c>
      <c r="N25" s="414">
        <f t="shared" si="6"/>
        <v>700692</v>
      </c>
      <c r="P25" s="515">
        <f t="shared" si="2"/>
        <v>-700692</v>
      </c>
    </row>
    <row r="26" spans="1:19" x14ac:dyDescent="0.25">
      <c r="A26" s="131"/>
      <c r="L26" s="418"/>
      <c r="M26" s="336"/>
      <c r="N26" s="336"/>
    </row>
    <row r="27" spans="1:19" ht="16.5" thickBot="1" x14ac:dyDescent="0.3">
      <c r="A27" s="131"/>
      <c r="B27" s="306" t="s">
        <v>555</v>
      </c>
      <c r="C27" s="504"/>
      <c r="D27" s="504"/>
      <c r="E27" s="504"/>
      <c r="F27" s="505"/>
      <c r="G27" s="353">
        <f t="shared" ref="G27:P27" si="7">G18+G25</f>
        <v>3454128</v>
      </c>
      <c r="H27" s="353">
        <f t="shared" si="7"/>
        <v>1802928.8599999999</v>
      </c>
      <c r="I27" s="353">
        <f t="shared" si="7"/>
        <v>1651199.1400000001</v>
      </c>
      <c r="J27" s="353">
        <f t="shared" si="7"/>
        <v>240897.27999999997</v>
      </c>
      <c r="K27" s="353">
        <f t="shared" si="7"/>
        <v>3695025.2800000003</v>
      </c>
      <c r="L27" s="354">
        <f t="shared" si="7"/>
        <v>3749382.5759999999</v>
      </c>
      <c r="M27" s="354">
        <f t="shared" si="7"/>
        <v>3898619.021344</v>
      </c>
      <c r="N27" s="354">
        <f t="shared" si="7"/>
        <v>4058612.1623044801</v>
      </c>
      <c r="O27" s="17">
        <f t="shared" si="7"/>
        <v>0</v>
      </c>
      <c r="P27" s="17">
        <f t="shared" si="7"/>
        <v>-4058612.1623044801</v>
      </c>
      <c r="R27" s="515"/>
      <c r="S27" s="693"/>
    </row>
    <row r="28" spans="1:19" x14ac:dyDescent="0.25">
      <c r="A28" s="131"/>
      <c r="L28" s="418"/>
      <c r="M28" s="336"/>
      <c r="N28" s="336"/>
    </row>
    <row r="29" spans="1:19" x14ac:dyDescent="0.25">
      <c r="A29" s="131"/>
      <c r="L29" s="418"/>
      <c r="M29" s="336"/>
      <c r="N29" s="336"/>
    </row>
    <row r="30" spans="1:19" x14ac:dyDescent="0.25">
      <c r="A30" s="131"/>
      <c r="B30" s="393" t="s">
        <v>559</v>
      </c>
      <c r="G30" s="312"/>
      <c r="H30" s="312"/>
      <c r="I30" s="312"/>
      <c r="J30" s="312"/>
      <c r="K30" s="312"/>
      <c r="L30" s="335"/>
      <c r="M30" s="239"/>
      <c r="N30" s="239"/>
    </row>
    <row r="31" spans="1:19" x14ac:dyDescent="0.25">
      <c r="A31" s="16" t="s">
        <v>366</v>
      </c>
      <c r="B31" s="16" t="s">
        <v>317</v>
      </c>
      <c r="C31" s="426"/>
      <c r="D31" s="426"/>
      <c r="E31" s="426"/>
      <c r="F31" s="683"/>
      <c r="G31" s="341">
        <v>0</v>
      </c>
      <c r="H31" s="340"/>
      <c r="I31" s="340"/>
      <c r="J31" s="339"/>
      <c r="K31" s="339"/>
      <c r="L31" s="359">
        <f>K31*1.048</f>
        <v>0</v>
      </c>
      <c r="M31" s="359">
        <f>L31*1.044</f>
        <v>0</v>
      </c>
      <c r="N31" s="359">
        <f>M31*1.045</f>
        <v>0</v>
      </c>
    </row>
    <row r="32" spans="1:19" x14ac:dyDescent="0.25">
      <c r="A32" s="16" t="s">
        <v>367</v>
      </c>
      <c r="B32" s="16" t="s">
        <v>319</v>
      </c>
      <c r="C32" s="428"/>
      <c r="D32" s="428"/>
      <c r="E32" s="428"/>
      <c r="F32" s="668"/>
      <c r="G32" s="313">
        <v>5286</v>
      </c>
      <c r="H32" s="312">
        <v>3595.79</v>
      </c>
      <c r="I32" s="312">
        <f>SUM(G32-H32)</f>
        <v>1690.21</v>
      </c>
      <c r="J32" s="311">
        <v>3000</v>
      </c>
      <c r="K32" s="311">
        <f>SUM(G32+J32)</f>
        <v>8286</v>
      </c>
      <c r="L32" s="325">
        <f t="shared" ref="L32:L34" si="8">K32*1.048</f>
        <v>8683.728000000001</v>
      </c>
      <c r="M32" s="325">
        <f t="shared" ref="M32:M34" si="9">L32*1.044</f>
        <v>9065.8120320000016</v>
      </c>
      <c r="N32" s="325">
        <f t="shared" ref="N32:N34" si="10">M32*1.045</f>
        <v>9473.7735734400012</v>
      </c>
    </row>
    <row r="33" spans="1:16" x14ac:dyDescent="0.25">
      <c r="A33" s="16" t="s">
        <v>368</v>
      </c>
      <c r="B33" s="16" t="s">
        <v>321</v>
      </c>
      <c r="C33" s="428"/>
      <c r="D33" s="428"/>
      <c r="E33" s="428"/>
      <c r="F33" s="668"/>
      <c r="G33" s="313">
        <v>4416.49</v>
      </c>
      <c r="H33" s="312">
        <v>3530.71</v>
      </c>
      <c r="I33" s="312">
        <f t="shared" ref="I33:I34" si="11">SUM(G33-H33)</f>
        <v>885.77999999999975</v>
      </c>
      <c r="J33" s="311">
        <v>2800</v>
      </c>
      <c r="K33" s="311">
        <f t="shared" ref="K33:K34" si="12">SUM(G33+J33)</f>
        <v>7216.49</v>
      </c>
      <c r="L33" s="325">
        <f t="shared" si="8"/>
        <v>7562.8815199999999</v>
      </c>
      <c r="M33" s="325">
        <f t="shared" si="9"/>
        <v>7895.6483068799998</v>
      </c>
      <c r="N33" s="325">
        <f t="shared" si="10"/>
        <v>8250.9524806895988</v>
      </c>
    </row>
    <row r="34" spans="1:16" x14ac:dyDescent="0.25">
      <c r="A34" s="16"/>
      <c r="B34" s="564" t="s">
        <v>957</v>
      </c>
      <c r="C34" s="694"/>
      <c r="D34" s="694"/>
      <c r="E34" s="694"/>
      <c r="F34" s="695"/>
      <c r="G34" s="422">
        <v>0</v>
      </c>
      <c r="H34" s="696">
        <v>7485.85</v>
      </c>
      <c r="I34" s="696">
        <f t="shared" si="11"/>
        <v>-7485.85</v>
      </c>
      <c r="J34" s="423">
        <v>7486</v>
      </c>
      <c r="K34" s="423">
        <f t="shared" si="12"/>
        <v>7486</v>
      </c>
      <c r="L34" s="326">
        <f t="shared" si="8"/>
        <v>7845.3280000000004</v>
      </c>
      <c r="M34" s="326">
        <f t="shared" si="9"/>
        <v>8190.5224320000007</v>
      </c>
      <c r="N34" s="326">
        <f t="shared" si="10"/>
        <v>8559.0959414400004</v>
      </c>
    </row>
    <row r="35" spans="1:16" x14ac:dyDescent="0.25">
      <c r="A35" s="131"/>
      <c r="B35" s="393" t="s">
        <v>566</v>
      </c>
      <c r="C35" s="433"/>
      <c r="D35" s="433"/>
      <c r="E35" s="386"/>
      <c r="F35" s="387"/>
      <c r="G35" s="562">
        <f>SUM(G31:G34)</f>
        <v>9702.49</v>
      </c>
      <c r="H35" s="562">
        <f t="shared" ref="H35:N35" si="13">SUM(H31:H34)</f>
        <v>14612.35</v>
      </c>
      <c r="I35" s="562">
        <f t="shared" si="13"/>
        <v>-4909.8600000000006</v>
      </c>
      <c r="J35" s="562">
        <f t="shared" si="13"/>
        <v>13286</v>
      </c>
      <c r="K35" s="562">
        <f t="shared" si="13"/>
        <v>22988.489999999998</v>
      </c>
      <c r="L35" s="563">
        <f t="shared" si="13"/>
        <v>24091.937520000003</v>
      </c>
      <c r="M35" s="563">
        <f t="shared" si="13"/>
        <v>25151.982770880004</v>
      </c>
      <c r="N35" s="563">
        <f t="shared" si="13"/>
        <v>26283.821995569597</v>
      </c>
    </row>
    <row r="36" spans="1:16" x14ac:dyDescent="0.25">
      <c r="A36" s="131"/>
      <c r="L36" s="418"/>
      <c r="M36" s="336"/>
      <c r="N36" s="336"/>
    </row>
    <row r="37" spans="1:16" x14ac:dyDescent="0.25">
      <c r="A37" s="131"/>
      <c r="L37" s="418"/>
      <c r="M37" s="336"/>
      <c r="N37" s="336"/>
    </row>
    <row r="38" spans="1:16" s="509" customFormat="1" ht="18.75" customHeight="1" x14ac:dyDescent="0.25">
      <c r="A38" s="191" t="s">
        <v>140</v>
      </c>
      <c r="B38" s="191" t="s">
        <v>5</v>
      </c>
      <c r="C38" s="438" t="s">
        <v>313</v>
      </c>
      <c r="D38" s="438" t="s">
        <v>1047</v>
      </c>
      <c r="E38" s="671" t="s">
        <v>1096</v>
      </c>
      <c r="F38" s="480" t="s">
        <v>1110</v>
      </c>
      <c r="G38" s="359">
        <f>G27*1/100</f>
        <v>34541.279999999999</v>
      </c>
      <c r="H38" s="359">
        <f>21966.43-7238.3</f>
        <v>14728.130000000001</v>
      </c>
      <c r="I38" s="359">
        <f t="shared" ref="I38:I46" si="14">SUM(G38-H38)</f>
        <v>19813.149999999998</v>
      </c>
      <c r="J38" s="359">
        <v>9391</v>
      </c>
      <c r="K38" s="359">
        <f t="shared" ref="K38:K46" si="15">SUM(G38+J38)</f>
        <v>43932.28</v>
      </c>
      <c r="L38" s="359">
        <f>L27*1/100</f>
        <v>37493.82576</v>
      </c>
      <c r="M38" s="359">
        <f t="shared" ref="M38:N38" si="16">M27*1/100</f>
        <v>38986.190213440001</v>
      </c>
      <c r="N38" s="359">
        <f t="shared" si="16"/>
        <v>40586.121623044804</v>
      </c>
    </row>
    <row r="39" spans="1:16" hidden="1" x14ac:dyDescent="0.25">
      <c r="A39" s="15" t="s">
        <v>141</v>
      </c>
      <c r="B39" s="15" t="s">
        <v>514</v>
      </c>
      <c r="C39" s="314" t="s">
        <v>313</v>
      </c>
      <c r="D39" s="314"/>
      <c r="E39" s="375"/>
      <c r="F39" s="377"/>
      <c r="G39" s="325"/>
      <c r="H39" s="325">
        <v>0</v>
      </c>
      <c r="I39" s="325">
        <f t="shared" si="14"/>
        <v>0</v>
      </c>
      <c r="J39" s="325">
        <v>0</v>
      </c>
      <c r="K39" s="325">
        <f t="shared" si="15"/>
        <v>0</v>
      </c>
      <c r="L39" s="325"/>
      <c r="M39" s="238"/>
      <c r="N39" s="238"/>
    </row>
    <row r="40" spans="1:16" ht="30.75" hidden="1" customHeight="1" x14ac:dyDescent="0.25">
      <c r="A40" s="15" t="s">
        <v>374</v>
      </c>
      <c r="B40" s="191" t="s">
        <v>467</v>
      </c>
      <c r="C40" s="244" t="s">
        <v>462</v>
      </c>
      <c r="D40" s="244" t="s">
        <v>1118</v>
      </c>
      <c r="E40" s="246" t="s">
        <v>1115</v>
      </c>
      <c r="F40" s="377" t="s">
        <v>1110</v>
      </c>
      <c r="G40" s="325"/>
      <c r="H40" s="325">
        <v>0</v>
      </c>
      <c r="I40" s="325">
        <f t="shared" si="14"/>
        <v>0</v>
      </c>
      <c r="J40" s="325">
        <v>0</v>
      </c>
      <c r="K40" s="325">
        <f t="shared" si="15"/>
        <v>0</v>
      </c>
      <c r="L40" s="325"/>
      <c r="M40" s="238"/>
      <c r="N40" s="238"/>
    </row>
    <row r="41" spans="1:16" x14ac:dyDescent="0.25">
      <c r="A41" s="15" t="s">
        <v>369</v>
      </c>
      <c r="B41" s="191" t="s">
        <v>1000</v>
      </c>
      <c r="C41" s="535" t="s">
        <v>462</v>
      </c>
      <c r="D41" s="535" t="s">
        <v>1118</v>
      </c>
      <c r="E41" s="573"/>
      <c r="F41" s="697"/>
      <c r="G41" s="325">
        <v>500000</v>
      </c>
      <c r="H41" s="325"/>
      <c r="I41" s="325">
        <f t="shared" si="14"/>
        <v>500000</v>
      </c>
      <c r="J41" s="325">
        <v>0</v>
      </c>
      <c r="K41" s="325">
        <f t="shared" si="15"/>
        <v>500000</v>
      </c>
      <c r="L41" s="325">
        <f>550000-300000-50000</f>
        <v>200000</v>
      </c>
      <c r="M41" s="238">
        <v>250000</v>
      </c>
      <c r="N41" s="238">
        <v>250000</v>
      </c>
    </row>
    <row r="42" spans="1:16" ht="31.5" hidden="1" x14ac:dyDescent="0.25">
      <c r="A42" s="15" t="s">
        <v>515</v>
      </c>
      <c r="B42" s="191" t="s">
        <v>155</v>
      </c>
      <c r="C42" s="244" t="s">
        <v>462</v>
      </c>
      <c r="D42" s="244" t="s">
        <v>1118</v>
      </c>
      <c r="E42" s="246" t="s">
        <v>1113</v>
      </c>
      <c r="F42" s="377" t="s">
        <v>1110</v>
      </c>
      <c r="G42" s="325">
        <v>0</v>
      </c>
      <c r="H42" s="325">
        <v>0</v>
      </c>
      <c r="I42" s="325">
        <f t="shared" si="14"/>
        <v>0</v>
      </c>
      <c r="J42" s="325">
        <v>0</v>
      </c>
      <c r="K42" s="325">
        <f t="shared" si="15"/>
        <v>0</v>
      </c>
      <c r="L42" s="325"/>
      <c r="M42" s="238"/>
      <c r="N42" s="238"/>
    </row>
    <row r="43" spans="1:16" s="509" customFormat="1" ht="31.5" hidden="1" x14ac:dyDescent="0.25">
      <c r="A43" s="191" t="s">
        <v>147</v>
      </c>
      <c r="B43" s="191" t="s">
        <v>471</v>
      </c>
      <c r="C43" s="535" t="s">
        <v>462</v>
      </c>
      <c r="D43" s="244" t="s">
        <v>1118</v>
      </c>
      <c r="E43" s="246" t="s">
        <v>1106</v>
      </c>
      <c r="F43" s="377" t="s">
        <v>1110</v>
      </c>
      <c r="G43" s="325">
        <v>0</v>
      </c>
      <c r="H43" s="325">
        <v>0</v>
      </c>
      <c r="I43" s="325">
        <f t="shared" si="14"/>
        <v>0</v>
      </c>
      <c r="J43" s="325">
        <v>0</v>
      </c>
      <c r="K43" s="325">
        <f t="shared" si="15"/>
        <v>0</v>
      </c>
      <c r="L43" s="325"/>
      <c r="M43" s="238"/>
      <c r="N43" s="238"/>
      <c r="O43" s="698"/>
      <c r="P43" s="698"/>
    </row>
    <row r="44" spans="1:16" s="509" customFormat="1" ht="26.25" hidden="1" customHeight="1" x14ac:dyDescent="0.25">
      <c r="A44" s="191" t="s">
        <v>148</v>
      </c>
      <c r="B44" s="191" t="s">
        <v>465</v>
      </c>
      <c r="C44" s="244" t="s">
        <v>462</v>
      </c>
      <c r="D44" s="244" t="s">
        <v>1118</v>
      </c>
      <c r="E44" s="246" t="s">
        <v>1117</v>
      </c>
      <c r="F44" s="377" t="s">
        <v>1110</v>
      </c>
      <c r="G44" s="325">
        <v>0</v>
      </c>
      <c r="H44" s="325">
        <v>0</v>
      </c>
      <c r="I44" s="325">
        <f t="shared" si="14"/>
        <v>0</v>
      </c>
      <c r="J44" s="325">
        <v>0</v>
      </c>
      <c r="K44" s="325">
        <f t="shared" si="15"/>
        <v>0</v>
      </c>
      <c r="L44" s="325"/>
      <c r="M44" s="238"/>
      <c r="N44" s="238"/>
    </row>
    <row r="45" spans="1:16" s="509" customFormat="1" ht="31.5" hidden="1" x14ac:dyDescent="0.25">
      <c r="A45" s="191" t="s">
        <v>370</v>
      </c>
      <c r="B45" s="191" t="s">
        <v>463</v>
      </c>
      <c r="C45" s="244" t="s">
        <v>462</v>
      </c>
      <c r="D45" s="244" t="s">
        <v>1118</v>
      </c>
      <c r="E45" s="246" t="s">
        <v>1114</v>
      </c>
      <c r="F45" s="377" t="s">
        <v>1110</v>
      </c>
      <c r="G45" s="325">
        <v>0</v>
      </c>
      <c r="H45" s="325">
        <v>0</v>
      </c>
      <c r="I45" s="325">
        <f t="shared" si="14"/>
        <v>0</v>
      </c>
      <c r="J45" s="325">
        <v>0</v>
      </c>
      <c r="K45" s="325">
        <f t="shared" si="15"/>
        <v>0</v>
      </c>
      <c r="L45" s="325"/>
      <c r="M45" s="238"/>
      <c r="N45" s="238"/>
    </row>
    <row r="46" spans="1:16" s="509" customFormat="1" ht="29.25" hidden="1" customHeight="1" x14ac:dyDescent="0.25">
      <c r="A46" s="191" t="s">
        <v>371</v>
      </c>
      <c r="B46" s="191" t="s">
        <v>469</v>
      </c>
      <c r="C46" s="244" t="s">
        <v>462</v>
      </c>
      <c r="D46" s="244" t="s">
        <v>1118</v>
      </c>
      <c r="E46" s="246" t="s">
        <v>1116</v>
      </c>
      <c r="F46" s="377" t="s">
        <v>1110</v>
      </c>
      <c r="G46" s="325">
        <v>0</v>
      </c>
      <c r="H46" s="325">
        <v>0</v>
      </c>
      <c r="I46" s="325">
        <f t="shared" si="14"/>
        <v>0</v>
      </c>
      <c r="J46" s="325">
        <v>0</v>
      </c>
      <c r="K46" s="325">
        <f t="shared" si="15"/>
        <v>0</v>
      </c>
      <c r="L46" s="325"/>
      <c r="M46" s="238"/>
      <c r="N46" s="238"/>
    </row>
    <row r="47" spans="1:16" s="509" customFormat="1" ht="23.45" customHeight="1" x14ac:dyDescent="0.25">
      <c r="A47" s="191" t="s">
        <v>372</v>
      </c>
      <c r="B47" s="191" t="s">
        <v>1155</v>
      </c>
      <c r="C47" s="535"/>
      <c r="D47" s="535"/>
      <c r="E47" s="573"/>
      <c r="F47" s="697"/>
      <c r="G47" s="325"/>
      <c r="H47" s="325"/>
      <c r="I47" s="325"/>
      <c r="J47" s="325"/>
      <c r="K47" s="325"/>
      <c r="L47" s="325">
        <f>250000-34000</f>
        <v>216000</v>
      </c>
      <c r="M47" s="238">
        <v>250000</v>
      </c>
      <c r="N47" s="238">
        <v>250000</v>
      </c>
    </row>
    <row r="48" spans="1:16" s="509" customFormat="1" x14ac:dyDescent="0.25">
      <c r="A48" s="191" t="s">
        <v>472</v>
      </c>
      <c r="B48" s="191" t="s">
        <v>1154</v>
      </c>
      <c r="C48" s="535"/>
      <c r="D48" s="535"/>
      <c r="E48" s="573"/>
      <c r="F48" s="697"/>
      <c r="G48" s="325">
        <v>0</v>
      </c>
      <c r="H48" s="325"/>
      <c r="I48" s="325"/>
      <c r="J48" s="325"/>
      <c r="K48" s="325"/>
      <c r="L48" s="325">
        <f>100000-40000</f>
        <v>60000</v>
      </c>
      <c r="M48" s="238">
        <v>120000</v>
      </c>
      <c r="N48" s="238">
        <v>150000</v>
      </c>
      <c r="O48" s="698"/>
      <c r="P48" s="698"/>
    </row>
    <row r="49" spans="1:17" s="509" customFormat="1" ht="21" customHeight="1" x14ac:dyDescent="0.25">
      <c r="A49" s="191" t="s">
        <v>154</v>
      </c>
      <c r="B49" s="191" t="s">
        <v>226</v>
      </c>
      <c r="C49" s="244" t="s">
        <v>313</v>
      </c>
      <c r="D49" s="244" t="s">
        <v>1118</v>
      </c>
      <c r="E49" s="246" t="s">
        <v>1112</v>
      </c>
      <c r="F49" s="377" t="s">
        <v>1110</v>
      </c>
      <c r="G49" s="325">
        <v>0</v>
      </c>
      <c r="H49" s="325">
        <v>0</v>
      </c>
      <c r="I49" s="325">
        <f t="shared" ref="I49:I57" si="17">SUM(G49-H49)</f>
        <v>0</v>
      </c>
      <c r="J49" s="325"/>
      <c r="K49" s="325">
        <f t="shared" ref="K49:K56" si="18">SUM(G49+J49)</f>
        <v>0</v>
      </c>
      <c r="L49" s="325"/>
      <c r="M49" s="238"/>
      <c r="N49" s="238"/>
    </row>
    <row r="50" spans="1:17" s="509" customFormat="1" ht="20.25" customHeight="1" x14ac:dyDescent="0.25">
      <c r="A50" s="191" t="s">
        <v>464</v>
      </c>
      <c r="B50" s="191" t="s">
        <v>21</v>
      </c>
      <c r="C50" s="244" t="s">
        <v>313</v>
      </c>
      <c r="D50" s="244" t="s">
        <v>1057</v>
      </c>
      <c r="E50" s="246" t="s">
        <v>1101</v>
      </c>
      <c r="F50" s="377" t="s">
        <v>1110</v>
      </c>
      <c r="G50" s="325">
        <v>23959</v>
      </c>
      <c r="H50" s="325">
        <v>5987.9</v>
      </c>
      <c r="I50" s="325">
        <f t="shared" si="17"/>
        <v>17971.099999999999</v>
      </c>
      <c r="J50" s="325">
        <v>0</v>
      </c>
      <c r="K50" s="325">
        <f t="shared" si="18"/>
        <v>23959</v>
      </c>
      <c r="L50" s="325">
        <f>K50*1.048</f>
        <v>25109.031999999999</v>
      </c>
      <c r="M50" s="238">
        <f>L50*1.044</f>
        <v>26213.829408000001</v>
      </c>
      <c r="N50" s="238">
        <f>M50*1.045</f>
        <v>27393.451731360001</v>
      </c>
      <c r="O50" s="698"/>
      <c r="P50" s="698"/>
      <c r="Q50" s="698"/>
    </row>
    <row r="51" spans="1:17" s="509" customFormat="1" ht="23.45" customHeight="1" x14ac:dyDescent="0.25">
      <c r="A51" s="191" t="s">
        <v>468</v>
      </c>
      <c r="B51" s="191" t="s">
        <v>23</v>
      </c>
      <c r="C51" s="244" t="s">
        <v>313</v>
      </c>
      <c r="D51" s="244" t="s">
        <v>1057</v>
      </c>
      <c r="E51" s="246" t="s">
        <v>1088</v>
      </c>
      <c r="F51" s="377" t="s">
        <v>1110</v>
      </c>
      <c r="G51" s="325">
        <v>4210</v>
      </c>
      <c r="H51" s="325">
        <v>278</v>
      </c>
      <c r="I51" s="325">
        <f t="shared" si="17"/>
        <v>3932</v>
      </c>
      <c r="J51" s="325">
        <v>0</v>
      </c>
      <c r="K51" s="325">
        <f t="shared" si="18"/>
        <v>4210</v>
      </c>
      <c r="L51" s="325">
        <f>K51*1.048</f>
        <v>4412.08</v>
      </c>
      <c r="M51" s="238">
        <f>L51*1.044</f>
        <v>4606.2115199999998</v>
      </c>
      <c r="N51" s="238">
        <f>M51*1.045</f>
        <v>4813.4910383999995</v>
      </c>
      <c r="O51" s="698"/>
      <c r="P51" s="698"/>
      <c r="Q51" s="698"/>
    </row>
    <row r="52" spans="1:17" s="509" customFormat="1" ht="25.5" hidden="1" customHeight="1" x14ac:dyDescent="0.25">
      <c r="A52" s="191" t="s">
        <v>470</v>
      </c>
      <c r="B52" s="191" t="s">
        <v>50</v>
      </c>
      <c r="C52" s="244" t="s">
        <v>313</v>
      </c>
      <c r="D52" s="244" t="s">
        <v>1057</v>
      </c>
      <c r="E52" s="376"/>
      <c r="F52" s="377" t="s">
        <v>1110</v>
      </c>
      <c r="G52" s="325">
        <v>0</v>
      </c>
      <c r="H52" s="325">
        <v>0</v>
      </c>
      <c r="I52" s="325">
        <f t="shared" si="17"/>
        <v>0</v>
      </c>
      <c r="J52" s="325">
        <v>0</v>
      </c>
      <c r="K52" s="325">
        <f t="shared" si="18"/>
        <v>0</v>
      </c>
      <c r="L52" s="325">
        <v>0</v>
      </c>
      <c r="M52" s="238">
        <v>0</v>
      </c>
      <c r="N52" s="238">
        <v>0</v>
      </c>
      <c r="O52" s="698"/>
      <c r="P52" s="698"/>
      <c r="Q52" s="698"/>
    </row>
    <row r="53" spans="1:17" s="509" customFormat="1" ht="24.4" customHeight="1" x14ac:dyDescent="0.25">
      <c r="A53" s="191" t="s">
        <v>466</v>
      </c>
      <c r="B53" s="15" t="s">
        <v>219</v>
      </c>
      <c r="C53" s="314" t="s">
        <v>313</v>
      </c>
      <c r="D53" s="314" t="s">
        <v>1057</v>
      </c>
      <c r="E53" s="318" t="s">
        <v>1111</v>
      </c>
      <c r="F53" s="377" t="s">
        <v>1110</v>
      </c>
      <c r="G53" s="325">
        <v>8208</v>
      </c>
      <c r="H53" s="325"/>
      <c r="I53" s="325">
        <f t="shared" si="17"/>
        <v>8208</v>
      </c>
      <c r="J53" s="325">
        <v>0</v>
      </c>
      <c r="K53" s="325">
        <f t="shared" si="18"/>
        <v>8208</v>
      </c>
      <c r="L53" s="325">
        <v>10000</v>
      </c>
      <c r="M53" s="238">
        <f>L53*1.044</f>
        <v>10440</v>
      </c>
      <c r="N53" s="238">
        <f>M53*1.045</f>
        <v>10909.8</v>
      </c>
      <c r="O53" s="698"/>
      <c r="P53" s="698"/>
      <c r="Q53" s="698"/>
    </row>
    <row r="54" spans="1:17" s="509" customFormat="1" ht="24.75" customHeight="1" x14ac:dyDescent="0.25">
      <c r="A54" s="191"/>
      <c r="B54" s="191" t="s">
        <v>62</v>
      </c>
      <c r="C54" s="244" t="s">
        <v>313</v>
      </c>
      <c r="D54" s="244" t="s">
        <v>1057</v>
      </c>
      <c r="E54" s="246" t="s">
        <v>1104</v>
      </c>
      <c r="F54" s="377" t="s">
        <v>1110</v>
      </c>
      <c r="G54" s="325">
        <v>5354</v>
      </c>
      <c r="H54" s="325">
        <v>0</v>
      </c>
      <c r="I54" s="325">
        <f t="shared" si="17"/>
        <v>5354</v>
      </c>
      <c r="J54" s="325">
        <v>0</v>
      </c>
      <c r="K54" s="325">
        <f t="shared" si="18"/>
        <v>5354</v>
      </c>
      <c r="L54" s="325">
        <f>K54*1.048</f>
        <v>5610.9920000000002</v>
      </c>
      <c r="M54" s="238">
        <f>L54*1.044</f>
        <v>5857.8756480000002</v>
      </c>
      <c r="N54" s="238">
        <f>M54*1.045</f>
        <v>6121.48005216</v>
      </c>
    </row>
    <row r="55" spans="1:17" s="509" customFormat="1" ht="20.45" customHeight="1" x14ac:dyDescent="0.25">
      <c r="A55" s="191"/>
      <c r="B55" s="15" t="s">
        <v>7</v>
      </c>
      <c r="C55" s="314" t="s">
        <v>313</v>
      </c>
      <c r="D55" s="314" t="s">
        <v>1057</v>
      </c>
      <c r="E55" s="318" t="s">
        <v>1076</v>
      </c>
      <c r="F55" s="377" t="s">
        <v>1110</v>
      </c>
      <c r="G55" s="325">
        <v>2494</v>
      </c>
      <c r="H55" s="325">
        <v>229.08</v>
      </c>
      <c r="I55" s="325">
        <f t="shared" si="17"/>
        <v>2264.92</v>
      </c>
      <c r="J55" s="325">
        <v>0</v>
      </c>
      <c r="K55" s="325">
        <f t="shared" si="18"/>
        <v>2494</v>
      </c>
      <c r="L55" s="325">
        <f>K55*1.048</f>
        <v>2613.712</v>
      </c>
      <c r="M55" s="238">
        <f>L55*1.044</f>
        <v>2728.7153280000002</v>
      </c>
      <c r="N55" s="238">
        <f>M55*1.045</f>
        <v>2851.5075177600002</v>
      </c>
    </row>
    <row r="56" spans="1:17" s="509" customFormat="1" ht="31.5" hidden="1" x14ac:dyDescent="0.25">
      <c r="A56" s="191"/>
      <c r="B56" s="15" t="s">
        <v>112</v>
      </c>
      <c r="C56" s="314" t="s">
        <v>313</v>
      </c>
      <c r="D56" s="314" t="s">
        <v>1118</v>
      </c>
      <c r="E56" s="375"/>
      <c r="F56" s="377" t="s">
        <v>1110</v>
      </c>
      <c r="G56" s="325">
        <v>0</v>
      </c>
      <c r="H56" s="325"/>
      <c r="I56" s="325">
        <f t="shared" si="17"/>
        <v>0</v>
      </c>
      <c r="J56" s="325">
        <v>0</v>
      </c>
      <c r="K56" s="325">
        <f t="shared" si="18"/>
        <v>0</v>
      </c>
      <c r="L56" s="325">
        <v>0</v>
      </c>
      <c r="M56" s="238">
        <v>0</v>
      </c>
      <c r="N56" s="238">
        <v>0</v>
      </c>
    </row>
    <row r="57" spans="1:17" s="509" customFormat="1" x14ac:dyDescent="0.25">
      <c r="A57" s="191"/>
      <c r="B57" s="15" t="s">
        <v>1309</v>
      </c>
      <c r="C57" s="314"/>
      <c r="D57" s="314"/>
      <c r="E57" s="375"/>
      <c r="F57" s="377"/>
      <c r="G57" s="325">
        <v>0</v>
      </c>
      <c r="H57" s="325"/>
      <c r="I57" s="325">
        <f t="shared" si="17"/>
        <v>0</v>
      </c>
      <c r="J57" s="325"/>
      <c r="K57" s="325">
        <v>0</v>
      </c>
      <c r="L57" s="325">
        <v>125000</v>
      </c>
      <c r="M57" s="325">
        <v>0</v>
      </c>
      <c r="N57" s="325">
        <v>0</v>
      </c>
    </row>
    <row r="58" spans="1:17" x14ac:dyDescent="0.25">
      <c r="A58" s="131"/>
      <c r="C58" s="411"/>
      <c r="D58" s="411"/>
      <c r="E58" s="412"/>
      <c r="F58" s="660"/>
      <c r="G58" s="676">
        <f>SUM(G38:G57)</f>
        <v>578766.28</v>
      </c>
      <c r="H58" s="676">
        <f>SUM(H38:H56)</f>
        <v>21223.11</v>
      </c>
      <c r="I58" s="676">
        <f>SUM(I38:I57)</f>
        <v>557543.17000000004</v>
      </c>
      <c r="J58" s="676">
        <f>SUM(J38:J56)</f>
        <v>9391</v>
      </c>
      <c r="K58" s="676">
        <f>SUM(K38:K56)</f>
        <v>588157.28</v>
      </c>
      <c r="L58" s="486">
        <f>SUM(L38:L57)</f>
        <v>686239.64176000003</v>
      </c>
      <c r="M58" s="677">
        <f>SUM(M38:M56)</f>
        <v>708832.82211744005</v>
      </c>
      <c r="N58" s="677">
        <f>SUM(N38:N56)</f>
        <v>742675.85196272493</v>
      </c>
      <c r="O58" s="17">
        <f>SUM(O38:O56)</f>
        <v>0</v>
      </c>
      <c r="P58" s="17">
        <f>SUM(P38:P56)</f>
        <v>0</v>
      </c>
    </row>
    <row r="59" spans="1:17" x14ac:dyDescent="0.25">
      <c r="A59" s="131"/>
      <c r="L59" s="418"/>
      <c r="M59" s="336"/>
      <c r="N59" s="336"/>
    </row>
    <row r="60" spans="1:17" ht="16.5" thickBot="1" x14ac:dyDescent="0.3">
      <c r="A60" s="446"/>
      <c r="C60" s="504"/>
      <c r="D60" s="504"/>
      <c r="E60" s="504"/>
      <c r="F60" s="505"/>
      <c r="G60" s="506">
        <f t="shared" ref="G60:N60" si="19">G27+G35+G58</f>
        <v>4042596.7700000005</v>
      </c>
      <c r="H60" s="506">
        <f t="shared" si="19"/>
        <v>1838764.32</v>
      </c>
      <c r="I60" s="506">
        <f t="shared" si="19"/>
        <v>2203832.4500000002</v>
      </c>
      <c r="J60" s="506">
        <f t="shared" si="19"/>
        <v>263574.27999999997</v>
      </c>
      <c r="K60" s="506">
        <f t="shared" si="19"/>
        <v>4306171.0500000007</v>
      </c>
      <c r="L60" s="506">
        <f t="shared" si="19"/>
        <v>4459714.1552799996</v>
      </c>
      <c r="M60" s="506">
        <f t="shared" si="19"/>
        <v>4632603.8262323206</v>
      </c>
      <c r="N60" s="506">
        <f t="shared" si="19"/>
        <v>4827571.8362627747</v>
      </c>
    </row>
  </sheetData>
  <sortState xmlns:xlrd2="http://schemas.microsoft.com/office/spreadsheetml/2017/richdata2" ref="B39:N56">
    <sortCondition ref="B56"/>
  </sortState>
  <mergeCells count="1">
    <mergeCell ref="B1:N4"/>
  </mergeCells>
  <phoneticPr fontId="48" type="noConversion"/>
  <pageMargins left="0.7" right="0.7" top="0.75" bottom="0.75" header="0.3" footer="0.3"/>
  <pageSetup paperSize="9" scale="55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40FE-0C93-49F0-8A5D-74E9725F20DF}">
  <sheetPr>
    <tabColor rgb="FF7030A0"/>
    <pageSetUpPr fitToPage="1"/>
  </sheetPr>
  <dimension ref="A1:KT228"/>
  <sheetViews>
    <sheetView topLeftCell="B1" zoomScale="80" zoomScaleNormal="80" zoomScaleSheetLayoutView="70" workbookViewId="0">
      <pane ySplit="5" topLeftCell="A6" activePane="bottomLeft" state="frozen"/>
      <selection activeCell="B1" sqref="B1"/>
      <selection pane="bottomLeft" activeCell="L22" sqref="L22"/>
    </sheetView>
  </sheetViews>
  <sheetFormatPr defaultColWidth="9.140625" defaultRowHeight="15.75" x14ac:dyDescent="0.25"/>
  <cols>
    <col min="1" max="1" width="50.28515625" style="240" hidden="1" customWidth="1"/>
    <col min="2" max="2" width="38.85546875" style="240" customWidth="1"/>
    <col min="3" max="3" width="29" style="711" hidden="1" customWidth="1"/>
    <col min="4" max="4" width="17.5703125" style="393" hidden="1" customWidth="1"/>
    <col min="5" max="5" width="53.5703125" style="393" hidden="1" customWidth="1"/>
    <col min="6" max="6" width="27.28515625" style="393" hidden="1" customWidth="1"/>
    <col min="7" max="7" width="14" style="241" hidden="1" customWidth="1"/>
    <col min="8" max="8" width="17.5703125" style="241" customWidth="1"/>
    <col min="9" max="10" width="17.5703125" style="241" hidden="1" customWidth="1"/>
    <col min="11" max="11" width="17.5703125" style="241" customWidth="1"/>
    <col min="12" max="12" width="16.28515625" style="241" customWidth="1"/>
    <col min="13" max="13" width="15.140625" style="241" customWidth="1"/>
    <col min="14" max="14" width="17.5703125" style="241" customWidth="1"/>
    <col min="15" max="15" width="20.140625" style="241" customWidth="1"/>
    <col min="16" max="19" width="9.140625" style="242" customWidth="1"/>
    <col min="20" max="306" width="9.140625" style="242"/>
    <col min="307" max="16384" width="9.140625" style="240"/>
  </cols>
  <sheetData>
    <row r="1" spans="1:17" ht="43.5" customHeight="1" x14ac:dyDescent="0.25">
      <c r="A1" s="507" t="s">
        <v>308</v>
      </c>
      <c r="B1" s="922" t="s">
        <v>1004</v>
      </c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</row>
    <row r="2" spans="1:17" ht="10.5" customHeight="1" thickBot="1" x14ac:dyDescent="0.3">
      <c r="A2" s="128" t="s">
        <v>0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</row>
    <row r="3" spans="1:17" ht="18" hidden="1" customHeight="1" thickBot="1" x14ac:dyDescent="0.3">
      <c r="A3" s="126"/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</row>
    <row r="4" spans="1:17" ht="16.5" hidden="1" thickBot="1" x14ac:dyDescent="0.3">
      <c r="A4" s="129" t="s">
        <v>1</v>
      </c>
      <c r="B4" s="924"/>
      <c r="C4" s="924"/>
      <c r="D4" s="924"/>
      <c r="E4" s="924"/>
      <c r="F4" s="924"/>
      <c r="G4" s="924"/>
      <c r="H4" s="924"/>
      <c r="I4" s="924"/>
      <c r="J4" s="924"/>
      <c r="K4" s="924"/>
      <c r="L4" s="924"/>
      <c r="M4" s="924"/>
      <c r="N4" s="924"/>
      <c r="O4" s="924"/>
    </row>
    <row r="5" spans="1:17" ht="48" thickBot="1" x14ac:dyDescent="0.3">
      <c r="A5" s="130" t="s">
        <v>2</v>
      </c>
      <c r="B5" s="300"/>
      <c r="C5" s="302" t="s">
        <v>1030</v>
      </c>
      <c r="D5" s="301" t="s">
        <v>1031</v>
      </c>
      <c r="E5" s="301" t="s">
        <v>306</v>
      </c>
      <c r="F5" s="301" t="s">
        <v>1032</v>
      </c>
      <c r="G5" s="304" t="s">
        <v>1029</v>
      </c>
      <c r="H5" s="214" t="s">
        <v>1028</v>
      </c>
      <c r="I5" s="214" t="s">
        <v>983</v>
      </c>
      <c r="J5" s="214" t="s">
        <v>1027</v>
      </c>
      <c r="K5" s="214" t="s">
        <v>631</v>
      </c>
      <c r="L5" s="214" t="s">
        <v>1274</v>
      </c>
      <c r="M5" s="304" t="s">
        <v>932</v>
      </c>
      <c r="N5" s="304" t="s">
        <v>996</v>
      </c>
      <c r="O5" s="215" t="s">
        <v>1296</v>
      </c>
    </row>
    <row r="6" spans="1:17" x14ac:dyDescent="0.25">
      <c r="A6" s="131" t="s">
        <v>3</v>
      </c>
      <c r="C6" s="699"/>
      <c r="D6" s="307"/>
      <c r="E6" s="374"/>
      <c r="F6" s="700"/>
      <c r="G6" s="489"/>
      <c r="H6" s="313"/>
      <c r="I6" s="311"/>
      <c r="J6" s="311"/>
      <c r="K6" s="311"/>
      <c r="L6" s="311"/>
      <c r="M6" s="325"/>
      <c r="N6" s="238"/>
      <c r="O6" s="238"/>
    </row>
    <row r="7" spans="1:17" x14ac:dyDescent="0.25">
      <c r="A7" s="131"/>
      <c r="C7" s="699"/>
      <c r="D7" s="307"/>
      <c r="E7" s="374"/>
      <c r="F7" s="700"/>
      <c r="G7" s="489"/>
      <c r="H7" s="313"/>
      <c r="I7" s="311"/>
      <c r="J7" s="311"/>
      <c r="K7" s="311"/>
      <c r="L7" s="311"/>
      <c r="M7" s="325"/>
      <c r="N7" s="238"/>
      <c r="O7" s="238"/>
    </row>
    <row r="8" spans="1:17" x14ac:dyDescent="0.25">
      <c r="A8" s="131"/>
      <c r="C8" s="699"/>
      <c r="D8" s="307"/>
      <c r="E8" s="374"/>
      <c r="F8" s="700"/>
      <c r="G8" s="489"/>
      <c r="H8" s="313"/>
      <c r="I8" s="311"/>
      <c r="J8" s="311"/>
      <c r="K8" s="311"/>
      <c r="L8" s="311"/>
      <c r="M8" s="325"/>
      <c r="N8" s="238"/>
      <c r="O8" s="238"/>
    </row>
    <row r="9" spans="1:17" x14ac:dyDescent="0.25">
      <c r="A9" s="15" t="s">
        <v>248</v>
      </c>
      <c r="B9" s="240" t="s">
        <v>11</v>
      </c>
      <c r="C9" s="699"/>
      <c r="D9" s="307"/>
      <c r="E9" s="374"/>
      <c r="F9" s="700"/>
      <c r="G9" s="489">
        <f>11665415+967420</f>
        <v>12632835</v>
      </c>
      <c r="H9" s="313">
        <f>14833742+770339</f>
        <v>15604081</v>
      </c>
      <c r="I9" s="311">
        <f>7868813.85-341706.9</f>
        <v>7527106.9499999993</v>
      </c>
      <c r="J9" s="311">
        <f>SUM(H9-I9)</f>
        <v>8076974.0500000007</v>
      </c>
      <c r="K9" s="311">
        <v>550747.02720000036</v>
      </c>
      <c r="L9" s="311">
        <f>SUM(H9+K9)</f>
        <v>16154828.0272</v>
      </c>
      <c r="M9" s="325">
        <v>13641547.029600002</v>
      </c>
      <c r="N9" s="238">
        <f>M9*1.044</f>
        <v>14241775.098902402</v>
      </c>
      <c r="O9" s="238">
        <f>N9*1.045</f>
        <v>14882654.978353009</v>
      </c>
      <c r="Q9" s="395"/>
    </row>
    <row r="10" spans="1:17" x14ac:dyDescent="0.25">
      <c r="A10" s="15"/>
      <c r="B10" s="240" t="s">
        <v>1018</v>
      </c>
      <c r="C10" s="699"/>
      <c r="D10" s="307"/>
      <c r="E10" s="374"/>
      <c r="F10" s="700"/>
      <c r="G10" s="489"/>
      <c r="H10" s="313"/>
      <c r="I10" s="311">
        <v>15000</v>
      </c>
      <c r="J10" s="311">
        <f t="shared" ref="J10:J21" si="0">SUM(H10-I10)</f>
        <v>-15000</v>
      </c>
      <c r="K10" s="311">
        <v>15000</v>
      </c>
      <c r="L10" s="311">
        <f t="shared" ref="L10:L21" si="1">SUM(H10+K10)</f>
        <v>15000</v>
      </c>
      <c r="M10" s="325">
        <v>0</v>
      </c>
      <c r="N10" s="238">
        <v>0</v>
      </c>
      <c r="O10" s="238">
        <v>0</v>
      </c>
    </row>
    <row r="11" spans="1:17" x14ac:dyDescent="0.25">
      <c r="A11" s="15" t="s">
        <v>327</v>
      </c>
      <c r="B11" s="240" t="s">
        <v>314</v>
      </c>
      <c r="C11" s="699"/>
      <c r="D11" s="307"/>
      <c r="E11" s="374"/>
      <c r="F11" s="700"/>
      <c r="G11" s="489">
        <v>163439</v>
      </c>
      <c r="H11" s="313">
        <v>147663</v>
      </c>
      <c r="I11" s="311"/>
      <c r="J11" s="311">
        <f t="shared" si="0"/>
        <v>147663</v>
      </c>
      <c r="K11" s="311">
        <v>0</v>
      </c>
      <c r="L11" s="311">
        <f t="shared" si="1"/>
        <v>147663</v>
      </c>
      <c r="M11" s="325">
        <v>149006</v>
      </c>
      <c r="N11" s="238">
        <v>153751</v>
      </c>
      <c r="O11" s="238">
        <v>158818</v>
      </c>
    </row>
    <row r="12" spans="1:17" x14ac:dyDescent="0.25">
      <c r="A12" s="15" t="s">
        <v>531</v>
      </c>
      <c r="B12" s="650" t="s">
        <v>448</v>
      </c>
      <c r="C12" s="701"/>
      <c r="D12" s="626"/>
      <c r="E12" s="652"/>
      <c r="F12" s="702"/>
      <c r="G12" s="489">
        <v>231938</v>
      </c>
      <c r="H12" s="313">
        <v>220000</v>
      </c>
      <c r="I12" s="311">
        <f>22302.4+8745.8</f>
        <v>31048.2</v>
      </c>
      <c r="J12" s="311">
        <f t="shared" si="0"/>
        <v>188951.8</v>
      </c>
      <c r="K12" s="311">
        <v>-100000</v>
      </c>
      <c r="L12" s="311">
        <f t="shared" si="1"/>
        <v>120000</v>
      </c>
      <c r="M12" s="325">
        <v>56861</v>
      </c>
      <c r="N12" s="238">
        <f>M12*1.044</f>
        <v>59362.884000000005</v>
      </c>
      <c r="O12" s="238">
        <f>N12*1.045</f>
        <v>62034.213779999998</v>
      </c>
    </row>
    <row r="13" spans="1:17" x14ac:dyDescent="0.25">
      <c r="A13" s="15" t="s">
        <v>255</v>
      </c>
      <c r="B13" s="240" t="s">
        <v>25</v>
      </c>
      <c r="C13" s="699"/>
      <c r="D13" s="307"/>
      <c r="E13" s="374"/>
      <c r="F13" s="700"/>
      <c r="G13" s="489">
        <f>162000+14400</f>
        <v>176400</v>
      </c>
      <c r="H13" s="313">
        <f>163200+14400</f>
        <v>177600</v>
      </c>
      <c r="I13" s="311">
        <f>194345.8-6000-8745.8</f>
        <v>179600</v>
      </c>
      <c r="J13" s="311">
        <f t="shared" si="0"/>
        <v>-2000</v>
      </c>
      <c r="K13" s="311">
        <v>186000</v>
      </c>
      <c r="L13" s="311">
        <f t="shared" si="1"/>
        <v>363600</v>
      </c>
      <c r="M13" s="325">
        <v>343200</v>
      </c>
      <c r="N13" s="238">
        <v>631200</v>
      </c>
      <c r="O13" s="238">
        <v>631200</v>
      </c>
      <c r="Q13" s="395"/>
    </row>
    <row r="14" spans="1:17" x14ac:dyDescent="0.25">
      <c r="A14" s="15" t="s">
        <v>256</v>
      </c>
      <c r="B14" s="240" t="s">
        <v>27</v>
      </c>
      <c r="C14" s="699"/>
      <c r="D14" s="307"/>
      <c r="E14" s="374"/>
      <c r="F14" s="700"/>
      <c r="G14" s="489">
        <f>4736364+185600</f>
        <v>4921964</v>
      </c>
      <c r="H14" s="313">
        <f>4854444+210000</f>
        <v>5064444</v>
      </c>
      <c r="I14" s="311">
        <f>2484586.76-70977</f>
        <v>2413609.7599999998</v>
      </c>
      <c r="J14" s="311">
        <f t="shared" si="0"/>
        <v>2650834.2400000002</v>
      </c>
      <c r="K14" s="311">
        <v>-105665.28000000119</v>
      </c>
      <c r="L14" s="311">
        <f t="shared" si="1"/>
        <v>4958778.7199999988</v>
      </c>
      <c r="M14" s="325">
        <v>5110832.5283999993</v>
      </c>
      <c r="N14" s="238">
        <v>5110832.5283999993</v>
      </c>
      <c r="O14" s="238">
        <v>5170988</v>
      </c>
      <c r="Q14" s="395"/>
    </row>
    <row r="15" spans="1:17" x14ac:dyDescent="0.25">
      <c r="A15" s="15" t="s">
        <v>257</v>
      </c>
      <c r="B15" s="240" t="s">
        <v>76</v>
      </c>
      <c r="C15" s="699"/>
      <c r="D15" s="307"/>
      <c r="E15" s="374"/>
      <c r="F15" s="700"/>
      <c r="G15" s="489">
        <v>104167</v>
      </c>
      <c r="H15" s="313">
        <f>115066+60000</f>
        <v>175066</v>
      </c>
      <c r="I15" s="311">
        <v>82026.8</v>
      </c>
      <c r="J15" s="311">
        <f t="shared" si="0"/>
        <v>93039.2</v>
      </c>
      <c r="K15" s="311">
        <v>0</v>
      </c>
      <c r="L15" s="311">
        <f t="shared" si="1"/>
        <v>175066</v>
      </c>
      <c r="M15" s="325">
        <v>152593</v>
      </c>
      <c r="N15" s="238">
        <v>164167</v>
      </c>
      <c r="O15" s="238">
        <v>164167</v>
      </c>
      <c r="Q15" s="395"/>
    </row>
    <row r="16" spans="1:17" x14ac:dyDescent="0.25">
      <c r="A16" s="15" t="s">
        <v>258</v>
      </c>
      <c r="B16" s="240" t="s">
        <v>29</v>
      </c>
      <c r="C16" s="699"/>
      <c r="D16" s="307"/>
      <c r="E16" s="374"/>
      <c r="F16" s="700"/>
      <c r="G16" s="489">
        <v>10800</v>
      </c>
      <c r="H16" s="313">
        <v>10800</v>
      </c>
      <c r="I16" s="311">
        <f>7200-1800</f>
        <v>5400</v>
      </c>
      <c r="J16" s="311">
        <f t="shared" si="0"/>
        <v>5400</v>
      </c>
      <c r="K16" s="311">
        <v>3600</v>
      </c>
      <c r="L16" s="311">
        <f t="shared" si="1"/>
        <v>14400</v>
      </c>
      <c r="M16" s="325">
        <v>10800</v>
      </c>
      <c r="N16" s="238">
        <v>18000</v>
      </c>
      <c r="O16" s="238">
        <v>18000</v>
      </c>
    </row>
    <row r="17" spans="1:21" x14ac:dyDescent="0.25">
      <c r="A17" s="15" t="s">
        <v>259</v>
      </c>
      <c r="B17" s="240" t="s">
        <v>31</v>
      </c>
      <c r="C17" s="699"/>
      <c r="D17" s="307"/>
      <c r="E17" s="374"/>
      <c r="F17" s="700"/>
      <c r="G17" s="489">
        <v>972118</v>
      </c>
      <c r="H17" s="313">
        <v>1236145</v>
      </c>
      <c r="I17" s="311">
        <f>515173.87-40049.42</f>
        <v>475124.45</v>
      </c>
      <c r="J17" s="311">
        <f t="shared" si="0"/>
        <v>761020.55</v>
      </c>
      <c r="K17" s="311">
        <v>42366</v>
      </c>
      <c r="L17" s="311">
        <f t="shared" si="1"/>
        <v>1278511</v>
      </c>
      <c r="M17" s="325">
        <v>1069777</v>
      </c>
      <c r="N17" s="238">
        <f>M17*1.044</f>
        <v>1116847.1880000001</v>
      </c>
      <c r="O17" s="238">
        <f>N17*1.045</f>
        <v>1167105.31146</v>
      </c>
      <c r="Q17" s="395"/>
    </row>
    <row r="18" spans="1:21" x14ac:dyDescent="0.25">
      <c r="A18" s="191" t="s">
        <v>260</v>
      </c>
      <c r="B18" s="242" t="s">
        <v>123</v>
      </c>
      <c r="C18" s="703"/>
      <c r="D18" s="441"/>
      <c r="E18" s="633"/>
      <c r="F18" s="704"/>
      <c r="G18" s="237">
        <v>23966.998</v>
      </c>
      <c r="H18" s="238">
        <v>107367.56</v>
      </c>
      <c r="I18" s="325">
        <v>263861.98</v>
      </c>
      <c r="J18" s="325">
        <f t="shared" si="0"/>
        <v>-156494.41999999998</v>
      </c>
      <c r="K18" s="325">
        <f>156494+150000</f>
        <v>306494</v>
      </c>
      <c r="L18" s="325">
        <f t="shared" si="1"/>
        <v>413861.56</v>
      </c>
      <c r="M18" s="325">
        <f>L18*1.048</f>
        <v>433726.91488</v>
      </c>
      <c r="N18" s="238">
        <f>M18*1.044</f>
        <v>452810.89913472004</v>
      </c>
      <c r="O18" s="238">
        <f>N18*1.045</f>
        <v>473187.38959578238</v>
      </c>
    </row>
    <row r="19" spans="1:21" x14ac:dyDescent="0.25">
      <c r="A19" s="15"/>
      <c r="B19" s="240" t="s">
        <v>545</v>
      </c>
      <c r="C19" s="699"/>
      <c r="D19" s="307"/>
      <c r="E19" s="374"/>
      <c r="F19" s="700"/>
      <c r="G19" s="489">
        <v>132028</v>
      </c>
      <c r="H19" s="313">
        <v>149169</v>
      </c>
      <c r="I19" s="311">
        <v>22660.5</v>
      </c>
      <c r="J19" s="311">
        <f t="shared" si="0"/>
        <v>126508.5</v>
      </c>
      <c r="K19" s="311">
        <v>-80000</v>
      </c>
      <c r="L19" s="311">
        <f t="shared" si="1"/>
        <v>69169</v>
      </c>
      <c r="M19" s="325">
        <f>L19*1.048</f>
        <v>72489.112000000008</v>
      </c>
      <c r="N19" s="238">
        <f>M19*1.044</f>
        <v>75678.632928000006</v>
      </c>
      <c r="O19" s="238">
        <f>N19*1.045</f>
        <v>79084.171409760005</v>
      </c>
    </row>
    <row r="20" spans="1:21" hidden="1" x14ac:dyDescent="0.25">
      <c r="A20" s="15" t="s">
        <v>342</v>
      </c>
      <c r="B20" s="705" t="s">
        <v>502</v>
      </c>
      <c r="C20" s="706"/>
      <c r="D20" s="707"/>
      <c r="E20" s="708"/>
      <c r="F20" s="709"/>
      <c r="G20" s="489"/>
      <c r="H20" s="313"/>
      <c r="I20" s="311"/>
      <c r="J20" s="311">
        <f t="shared" si="0"/>
        <v>0</v>
      </c>
      <c r="K20" s="311">
        <v>0</v>
      </c>
      <c r="L20" s="311">
        <f t="shared" si="1"/>
        <v>0</v>
      </c>
      <c r="M20" s="457">
        <v>0</v>
      </c>
      <c r="N20" s="238">
        <v>0</v>
      </c>
      <c r="O20" s="238">
        <v>0</v>
      </c>
    </row>
    <row r="21" spans="1:21" hidden="1" x14ac:dyDescent="0.25">
      <c r="A21" s="15" t="s">
        <v>329</v>
      </c>
      <c r="B21" s="240" t="s">
        <v>328</v>
      </c>
      <c r="C21" s="699"/>
      <c r="D21" s="307"/>
      <c r="E21" s="374"/>
      <c r="F21" s="700"/>
      <c r="G21" s="544">
        <v>18778</v>
      </c>
      <c r="H21" s="313"/>
      <c r="I21" s="311"/>
      <c r="J21" s="311">
        <f t="shared" si="0"/>
        <v>0</v>
      </c>
      <c r="K21" s="311">
        <v>0</v>
      </c>
      <c r="L21" s="311">
        <f t="shared" si="1"/>
        <v>0</v>
      </c>
      <c r="M21" s="457">
        <v>0</v>
      </c>
      <c r="N21" s="348">
        <v>0</v>
      </c>
      <c r="O21" s="348">
        <v>0</v>
      </c>
    </row>
    <row r="22" spans="1:21" x14ac:dyDescent="0.25">
      <c r="A22" s="131"/>
      <c r="C22" s="710"/>
      <c r="D22" s="411"/>
      <c r="E22" s="412"/>
      <c r="F22" s="588"/>
      <c r="G22" s="528">
        <f>SUM(G9:G21)</f>
        <v>19388433.998</v>
      </c>
      <c r="H22" s="417">
        <f>SUM(H9:H21)</f>
        <v>22892335.559999999</v>
      </c>
      <c r="I22" s="417">
        <f t="shared" ref="I22:O22" si="2">SUM(I9:I21)</f>
        <v>11015438.640000001</v>
      </c>
      <c r="J22" s="417">
        <f t="shared" si="2"/>
        <v>11876896.920000002</v>
      </c>
      <c r="K22" s="417">
        <f t="shared" si="2"/>
        <v>818541.74719999917</v>
      </c>
      <c r="L22" s="417">
        <f t="shared" si="2"/>
        <v>23710877.307199996</v>
      </c>
      <c r="M22" s="414">
        <f t="shared" si="2"/>
        <v>21040832.584880002</v>
      </c>
      <c r="N22" s="529">
        <f t="shared" si="2"/>
        <v>22024425.231365122</v>
      </c>
      <c r="O22" s="529">
        <f t="shared" si="2"/>
        <v>22807239.064598549</v>
      </c>
    </row>
    <row r="23" spans="1:21" x14ac:dyDescent="0.25">
      <c r="A23" s="131"/>
      <c r="H23" s="489"/>
      <c r="M23" s="418"/>
      <c r="N23" s="336"/>
      <c r="O23" s="336"/>
    </row>
    <row r="24" spans="1:21" x14ac:dyDescent="0.25">
      <c r="A24" s="15" t="s">
        <v>249</v>
      </c>
      <c r="B24" s="650" t="s">
        <v>13</v>
      </c>
      <c r="C24" s="712"/>
      <c r="D24" s="713"/>
      <c r="E24" s="714"/>
      <c r="F24" s="715"/>
      <c r="G24" s="435">
        <v>2908</v>
      </c>
      <c r="H24" s="435">
        <v>2760</v>
      </c>
      <c r="I24" s="435">
        <f>4191.06-61.4</f>
        <v>4129.6600000000008</v>
      </c>
      <c r="J24" s="435">
        <f>SUM(H24-I24)</f>
        <v>-1369.6600000000008</v>
      </c>
      <c r="K24" s="435">
        <v>5499.32</v>
      </c>
      <c r="L24" s="435">
        <f>SUM(H24+K24)</f>
        <v>8259.32</v>
      </c>
      <c r="M24" s="343">
        <v>2843</v>
      </c>
      <c r="N24" s="344">
        <v>3085</v>
      </c>
      <c r="O24" s="344">
        <v>3085</v>
      </c>
    </row>
    <row r="25" spans="1:21" x14ac:dyDescent="0.25">
      <c r="A25" s="15" t="s">
        <v>250</v>
      </c>
      <c r="B25" s="240" t="s">
        <v>15</v>
      </c>
      <c r="C25" s="699"/>
      <c r="D25" s="307"/>
      <c r="E25" s="374"/>
      <c r="F25" s="700"/>
      <c r="G25" s="489">
        <v>1606742</v>
      </c>
      <c r="H25" s="489">
        <f>1601209</f>
        <v>1601209</v>
      </c>
      <c r="I25" s="489">
        <f>732344.3-15456</f>
        <v>716888.3</v>
      </c>
      <c r="J25" s="489">
        <f t="shared" ref="J25:J27" si="3">SUM(H25-I25)</f>
        <v>884320.7</v>
      </c>
      <c r="K25" s="489">
        <v>-63913.239999999991</v>
      </c>
      <c r="L25" s="489">
        <f t="shared" ref="L25:L27" si="4">SUM(H25+K25)</f>
        <v>1537295.76</v>
      </c>
      <c r="M25" s="237">
        <v>1566026</v>
      </c>
      <c r="N25" s="238">
        <f>M25*1.044</f>
        <v>1634931.1440000001</v>
      </c>
      <c r="O25" s="238">
        <f>N25*1.45</f>
        <v>2370650.1587999999</v>
      </c>
      <c r="U25" s="395"/>
    </row>
    <row r="26" spans="1:21" x14ac:dyDescent="0.25">
      <c r="A26" s="15" t="s">
        <v>251</v>
      </c>
      <c r="B26" s="240" t="s">
        <v>17</v>
      </c>
      <c r="C26" s="699"/>
      <c r="D26" s="307"/>
      <c r="E26" s="374"/>
      <c r="F26" s="700"/>
      <c r="G26" s="489">
        <v>1969274</v>
      </c>
      <c r="H26" s="489">
        <v>2131394</v>
      </c>
      <c r="I26" s="489">
        <f>1073975.36-44181.45</f>
        <v>1029793.9100000001</v>
      </c>
      <c r="J26" s="489">
        <f t="shared" si="3"/>
        <v>1101600.0899999999</v>
      </c>
      <c r="K26" s="489">
        <v>-129658.59487999976</v>
      </c>
      <c r="L26" s="489">
        <f t="shared" si="4"/>
        <v>2001735.4051200002</v>
      </c>
      <c r="M26" s="237">
        <v>2170391</v>
      </c>
      <c r="N26" s="238">
        <f>M26*1.044</f>
        <v>2265888.2039999999</v>
      </c>
      <c r="O26" s="238">
        <v>2569719</v>
      </c>
      <c r="U26" s="395"/>
    </row>
    <row r="27" spans="1:21" x14ac:dyDescent="0.25">
      <c r="A27" s="15" t="s">
        <v>252</v>
      </c>
      <c r="B27" s="240" t="s">
        <v>19</v>
      </c>
      <c r="C27" s="716"/>
      <c r="D27" s="433"/>
      <c r="E27" s="386"/>
      <c r="F27" s="717"/>
      <c r="G27" s="489">
        <v>46404</v>
      </c>
      <c r="H27" s="489">
        <v>66035</v>
      </c>
      <c r="I27" s="489">
        <f>31302.92-1784.64</f>
        <v>29518.28</v>
      </c>
      <c r="J27" s="489">
        <f t="shared" si="3"/>
        <v>36516.720000000001</v>
      </c>
      <c r="K27" s="489">
        <v>-5357</v>
      </c>
      <c r="L27" s="489">
        <f t="shared" si="4"/>
        <v>60678</v>
      </c>
      <c r="M27" s="237">
        <v>46401</v>
      </c>
      <c r="N27" s="238">
        <v>49970</v>
      </c>
      <c r="O27" s="348">
        <v>49970</v>
      </c>
    </row>
    <row r="28" spans="1:21" x14ac:dyDescent="0.25">
      <c r="A28" s="131"/>
      <c r="C28" s="716"/>
      <c r="D28" s="433"/>
      <c r="E28" s="386"/>
      <c r="F28" s="717"/>
      <c r="G28" s="528">
        <f t="shared" ref="G28:O28" si="5">SUM(G24:G27)</f>
        <v>3625328</v>
      </c>
      <c r="H28" s="528">
        <f t="shared" si="5"/>
        <v>3801398</v>
      </c>
      <c r="I28" s="528">
        <f t="shared" si="5"/>
        <v>1780330.1500000001</v>
      </c>
      <c r="J28" s="528">
        <f t="shared" si="5"/>
        <v>2021067.8499999999</v>
      </c>
      <c r="K28" s="528">
        <f t="shared" si="5"/>
        <v>-193429.51487999974</v>
      </c>
      <c r="L28" s="528">
        <f t="shared" si="5"/>
        <v>3607968.4851200003</v>
      </c>
      <c r="M28" s="349">
        <f t="shared" si="5"/>
        <v>3785661</v>
      </c>
      <c r="N28" s="682">
        <f t="shared" si="5"/>
        <v>3953874.3480000002</v>
      </c>
      <c r="O28" s="682">
        <f t="shared" si="5"/>
        <v>4993424.1588000003</v>
      </c>
    </row>
    <row r="29" spans="1:21" x14ac:dyDescent="0.25">
      <c r="A29" s="131"/>
      <c r="H29" s="489"/>
      <c r="M29" s="418"/>
      <c r="N29" s="336"/>
      <c r="O29" s="336"/>
    </row>
    <row r="30" spans="1:21" ht="16.5" thickBot="1" x14ac:dyDescent="0.3">
      <c r="A30" s="131"/>
      <c r="C30" s="718"/>
      <c r="D30" s="719"/>
      <c r="E30" s="719"/>
      <c r="F30" s="719"/>
      <c r="G30" s="720">
        <f t="shared" ref="G30:O30" si="6">G22+G28</f>
        <v>23013761.998</v>
      </c>
      <c r="H30" s="487">
        <f t="shared" si="6"/>
        <v>26693733.559999999</v>
      </c>
      <c r="I30" s="487">
        <f t="shared" si="6"/>
        <v>12795768.790000001</v>
      </c>
      <c r="J30" s="487">
        <f t="shared" si="6"/>
        <v>13897964.770000001</v>
      </c>
      <c r="K30" s="487">
        <f t="shared" si="6"/>
        <v>625112.23231999949</v>
      </c>
      <c r="L30" s="487">
        <f t="shared" si="6"/>
        <v>27318845.792319998</v>
      </c>
      <c r="M30" s="355">
        <f t="shared" si="6"/>
        <v>24826493.584880002</v>
      </c>
      <c r="N30" s="355">
        <f t="shared" si="6"/>
        <v>25978299.579365123</v>
      </c>
      <c r="O30" s="355">
        <f t="shared" si="6"/>
        <v>27800663.223398551</v>
      </c>
      <c r="P30" s="395"/>
      <c r="Q30" s="396"/>
    </row>
    <row r="31" spans="1:21" x14ac:dyDescent="0.25">
      <c r="A31" s="131"/>
      <c r="H31" s="489"/>
      <c r="M31" s="418"/>
      <c r="N31" s="336"/>
      <c r="O31" s="336"/>
    </row>
    <row r="32" spans="1:21" x14ac:dyDescent="0.25">
      <c r="A32" s="131"/>
      <c r="H32" s="489"/>
      <c r="M32" s="418"/>
      <c r="N32" s="336"/>
      <c r="O32" s="336"/>
    </row>
    <row r="33" spans="1:15" x14ac:dyDescent="0.25">
      <c r="A33" s="131"/>
      <c r="H33" s="489"/>
      <c r="M33" s="418"/>
      <c r="N33" s="336"/>
      <c r="O33" s="336"/>
    </row>
    <row r="34" spans="1:15" x14ac:dyDescent="0.25">
      <c r="A34" s="16" t="s">
        <v>330</v>
      </c>
      <c r="B34" s="16" t="s">
        <v>317</v>
      </c>
      <c r="C34" s="721"/>
      <c r="D34" s="426"/>
      <c r="E34" s="427"/>
      <c r="F34" s="722"/>
      <c r="G34" s="340">
        <v>0</v>
      </c>
      <c r="H34" s="341">
        <v>0</v>
      </c>
      <c r="I34" s="339">
        <v>0</v>
      </c>
      <c r="J34" s="339">
        <f>SUM(H34-I34)</f>
        <v>0</v>
      </c>
      <c r="K34" s="339"/>
      <c r="L34" s="339">
        <f>SUM(H34+K34)</f>
        <v>0</v>
      </c>
      <c r="M34" s="342">
        <f>L34*1.048</f>
        <v>0</v>
      </c>
      <c r="N34" s="344">
        <f>M34*1.044</f>
        <v>0</v>
      </c>
      <c r="O34" s="344">
        <f>N34*1.045</f>
        <v>0</v>
      </c>
    </row>
    <row r="35" spans="1:15" x14ac:dyDescent="0.25">
      <c r="A35" s="16" t="s">
        <v>331</v>
      </c>
      <c r="B35" s="16" t="s">
        <v>319</v>
      </c>
      <c r="C35" s="723"/>
      <c r="D35" s="428"/>
      <c r="E35" s="429"/>
      <c r="F35" s="724"/>
      <c r="G35" s="312">
        <v>29347.96</v>
      </c>
      <c r="H35" s="313">
        <v>866.2</v>
      </c>
      <c r="I35" s="311">
        <v>38949.57</v>
      </c>
      <c r="J35" s="311">
        <f t="shared" ref="J35:J38" si="7">SUM(H35-I35)</f>
        <v>-38083.370000000003</v>
      </c>
      <c r="K35" s="311">
        <v>38083</v>
      </c>
      <c r="L35" s="311">
        <f t="shared" ref="L35:L38" si="8">SUM(H35+K35)</f>
        <v>38949.199999999997</v>
      </c>
      <c r="M35" s="325">
        <f t="shared" ref="M35:M38" si="9">L35*1.048</f>
        <v>40818.761599999998</v>
      </c>
      <c r="N35" s="238">
        <f t="shared" ref="N35:N38" si="10">M35*1.044</f>
        <v>42614.787110400001</v>
      </c>
      <c r="O35" s="238">
        <f t="shared" ref="O35:O38" si="11">N35*1.045</f>
        <v>44532.452530367998</v>
      </c>
    </row>
    <row r="36" spans="1:15" x14ac:dyDescent="0.25">
      <c r="A36" s="16" t="s">
        <v>332</v>
      </c>
      <c r="B36" s="16" t="s">
        <v>321</v>
      </c>
      <c r="C36" s="723"/>
      <c r="D36" s="428"/>
      <c r="E36" s="429"/>
      <c r="F36" s="724"/>
      <c r="G36" s="312">
        <v>48957.38</v>
      </c>
      <c r="H36" s="313">
        <v>42740.7</v>
      </c>
      <c r="I36" s="311">
        <v>284628.64</v>
      </c>
      <c r="J36" s="311">
        <f t="shared" si="7"/>
        <v>-241887.94</v>
      </c>
      <c r="K36" s="311">
        <v>241888</v>
      </c>
      <c r="L36" s="311">
        <f t="shared" si="8"/>
        <v>284628.7</v>
      </c>
      <c r="M36" s="325">
        <f t="shared" si="9"/>
        <v>298290.87760000001</v>
      </c>
      <c r="N36" s="238">
        <f t="shared" si="10"/>
        <v>311415.67621440004</v>
      </c>
      <c r="O36" s="238">
        <f t="shared" si="11"/>
        <v>325429.38164404803</v>
      </c>
    </row>
    <row r="37" spans="1:15" x14ac:dyDescent="0.25">
      <c r="A37" s="16"/>
      <c r="B37" s="16" t="s">
        <v>958</v>
      </c>
      <c r="C37" s="723"/>
      <c r="D37" s="428"/>
      <c r="E37" s="429"/>
      <c r="F37" s="724"/>
      <c r="G37" s="312">
        <v>30989.75</v>
      </c>
      <c r="H37" s="313">
        <v>0</v>
      </c>
      <c r="I37" s="311">
        <v>21771.41</v>
      </c>
      <c r="J37" s="311">
        <f t="shared" si="7"/>
        <v>-21771.41</v>
      </c>
      <c r="K37" s="311">
        <v>21771</v>
      </c>
      <c r="L37" s="311">
        <f t="shared" si="8"/>
        <v>21771</v>
      </c>
      <c r="M37" s="325">
        <f t="shared" si="9"/>
        <v>22816.008000000002</v>
      </c>
      <c r="N37" s="238">
        <f t="shared" si="10"/>
        <v>23819.912352000003</v>
      </c>
      <c r="O37" s="238">
        <f t="shared" si="11"/>
        <v>24891.808407840002</v>
      </c>
    </row>
    <row r="38" spans="1:15" x14ac:dyDescent="0.25">
      <c r="A38" s="16" t="s">
        <v>334</v>
      </c>
      <c r="B38" s="16" t="s">
        <v>333</v>
      </c>
      <c r="C38" s="725"/>
      <c r="D38" s="430"/>
      <c r="E38" s="431"/>
      <c r="F38" s="726"/>
      <c r="G38" s="346">
        <v>0</v>
      </c>
      <c r="H38" s="347">
        <v>0</v>
      </c>
      <c r="I38" s="345">
        <v>1572.85</v>
      </c>
      <c r="J38" s="345">
        <f t="shared" si="7"/>
        <v>-1572.85</v>
      </c>
      <c r="K38" s="345">
        <v>1573</v>
      </c>
      <c r="L38" s="345">
        <f t="shared" si="8"/>
        <v>1573</v>
      </c>
      <c r="M38" s="326">
        <f t="shared" si="9"/>
        <v>1648.5040000000001</v>
      </c>
      <c r="N38" s="348">
        <f t="shared" si="10"/>
        <v>1721.0381760000002</v>
      </c>
      <c r="O38" s="238">
        <f t="shared" si="11"/>
        <v>1798.4848939200001</v>
      </c>
    </row>
    <row r="39" spans="1:15" x14ac:dyDescent="0.25">
      <c r="A39" s="131"/>
      <c r="C39" s="727"/>
      <c r="D39" s="389"/>
      <c r="E39" s="433"/>
      <c r="F39" s="412"/>
      <c r="G39" s="503">
        <f>SUM(G34:G38)</f>
        <v>109295.09</v>
      </c>
      <c r="H39" s="434">
        <f>SUM(H34:H38)</f>
        <v>43606.899999999994</v>
      </c>
      <c r="I39" s="434">
        <f>SUM(I34:I38)</f>
        <v>346922.47</v>
      </c>
      <c r="J39" s="434">
        <f t="shared" ref="J39:K39" si="12">SUM(J34:J38)</f>
        <v>-303315.56999999995</v>
      </c>
      <c r="K39" s="434">
        <f t="shared" si="12"/>
        <v>303315</v>
      </c>
      <c r="L39" s="434">
        <f>SUM(L34:L38)</f>
        <v>346921.9</v>
      </c>
      <c r="M39" s="349">
        <f t="shared" ref="M39:O39" si="13">SUM(M34:M38)</f>
        <v>363574.15120000002</v>
      </c>
      <c r="N39" s="349">
        <f t="shared" si="13"/>
        <v>379571.41385280003</v>
      </c>
      <c r="O39" s="414">
        <f t="shared" si="13"/>
        <v>396652.12747617607</v>
      </c>
    </row>
    <row r="40" spans="1:15" x14ac:dyDescent="0.25">
      <c r="A40" s="131"/>
      <c r="H40" s="489"/>
      <c r="M40" s="418"/>
      <c r="N40" s="336"/>
      <c r="O40" s="336"/>
    </row>
    <row r="41" spans="1:15" x14ac:dyDescent="0.25">
      <c r="A41" s="131"/>
      <c r="H41" s="489"/>
      <c r="M41" s="418"/>
      <c r="N41" s="336"/>
      <c r="O41" s="336"/>
    </row>
    <row r="42" spans="1:15" s="242" customFormat="1" ht="31.5" x14ac:dyDescent="0.25">
      <c r="A42" s="191"/>
      <c r="B42" s="728" t="s">
        <v>244</v>
      </c>
      <c r="C42" s="729" t="s">
        <v>313</v>
      </c>
      <c r="D42" s="628" t="s">
        <v>1072</v>
      </c>
      <c r="E42" s="439" t="s">
        <v>1092</v>
      </c>
      <c r="F42" s="671" t="s">
        <v>1093</v>
      </c>
      <c r="G42" s="343">
        <f>40100+3000</f>
        <v>43100</v>
      </c>
      <c r="H42" s="344">
        <f>40100+8000</f>
        <v>48100</v>
      </c>
      <c r="I42" s="359"/>
      <c r="J42" s="359">
        <f t="shared" ref="J42:J52" si="14">SUM(H42-I42)</f>
        <v>48100</v>
      </c>
      <c r="K42" s="359">
        <v>0</v>
      </c>
      <c r="L42" s="359">
        <f>SUM(H42+K42)</f>
        <v>48100</v>
      </c>
      <c r="M42" s="359">
        <f>3000+40100</f>
        <v>43100</v>
      </c>
      <c r="N42" s="359">
        <f>M42*1.044</f>
        <v>44996.4</v>
      </c>
      <c r="O42" s="344">
        <f>N42*1.045</f>
        <v>47021.237999999998</v>
      </c>
    </row>
    <row r="43" spans="1:15" s="242" customFormat="1" x14ac:dyDescent="0.25">
      <c r="A43" s="191"/>
      <c r="B43" s="232" t="s">
        <v>1167</v>
      </c>
      <c r="C43" s="730" t="s">
        <v>1168</v>
      </c>
      <c r="D43" s="376" t="s">
        <v>1099</v>
      </c>
      <c r="E43" s="535" t="s">
        <v>1169</v>
      </c>
      <c r="F43" s="376" t="s">
        <v>1108</v>
      </c>
      <c r="G43" s="237">
        <v>33000</v>
      </c>
      <c r="H43" s="238">
        <v>0</v>
      </c>
      <c r="I43" s="325"/>
      <c r="J43" s="325">
        <f t="shared" si="14"/>
        <v>0</v>
      </c>
      <c r="K43" s="325">
        <v>0</v>
      </c>
      <c r="L43" s="325">
        <f>SUM(H43+K43)</f>
        <v>0</v>
      </c>
      <c r="M43" s="325">
        <f>80000-30000</f>
        <v>50000</v>
      </c>
      <c r="N43" s="325">
        <v>0</v>
      </c>
      <c r="O43" s="238">
        <v>0</v>
      </c>
    </row>
    <row r="44" spans="1:15" s="242" customFormat="1" hidden="1" x14ac:dyDescent="0.25">
      <c r="A44" s="191"/>
      <c r="B44" s="397" t="s">
        <v>884</v>
      </c>
      <c r="C44" s="703"/>
      <c r="D44" s="633"/>
      <c r="E44" s="441"/>
      <c r="F44" s="633"/>
      <c r="G44" s="237">
        <f>44109.94-44109.94</f>
        <v>0</v>
      </c>
      <c r="H44" s="238">
        <v>0</v>
      </c>
      <c r="I44" s="325"/>
      <c r="J44" s="325">
        <f t="shared" si="14"/>
        <v>0</v>
      </c>
      <c r="K44" s="325"/>
      <c r="L44" s="325">
        <f>SUM(H44+K44)</f>
        <v>0</v>
      </c>
      <c r="M44" s="325">
        <f>60000-30000-10000-20000</f>
        <v>0</v>
      </c>
      <c r="N44" s="325">
        <f>M44*1.044</f>
        <v>0</v>
      </c>
      <c r="O44" s="238">
        <f>N44*1.045</f>
        <v>0</v>
      </c>
    </row>
    <row r="45" spans="1:15" s="242" customFormat="1" ht="20.25" customHeight="1" x14ac:dyDescent="0.25">
      <c r="A45" s="191"/>
      <c r="B45" s="397" t="s">
        <v>883</v>
      </c>
      <c r="C45" s="703" t="s">
        <v>313</v>
      </c>
      <c r="D45" s="633" t="s">
        <v>1109</v>
      </c>
      <c r="E45" s="635" t="s">
        <v>1106</v>
      </c>
      <c r="F45" s="633" t="s">
        <v>1108</v>
      </c>
      <c r="G45" s="237">
        <f>37700.8+19981.43-57682.23</f>
        <v>0</v>
      </c>
      <c r="H45" s="238">
        <v>45000</v>
      </c>
      <c r="I45" s="325"/>
      <c r="J45" s="325">
        <f t="shared" si="14"/>
        <v>45000</v>
      </c>
      <c r="K45" s="325">
        <v>25000</v>
      </c>
      <c r="L45" s="325">
        <v>50000</v>
      </c>
      <c r="M45" s="325">
        <f>50000-20000-10000-20000</f>
        <v>0</v>
      </c>
      <c r="N45" s="325">
        <v>50000</v>
      </c>
      <c r="O45" s="238">
        <v>50000</v>
      </c>
    </row>
    <row r="46" spans="1:15" s="242" customFormat="1" hidden="1" x14ac:dyDescent="0.25">
      <c r="A46" s="191"/>
      <c r="B46" s="242" t="s">
        <v>885</v>
      </c>
      <c r="C46" s="703"/>
      <c r="D46" s="633"/>
      <c r="E46" s="441"/>
      <c r="F46" s="633"/>
      <c r="G46" s="237">
        <f>37700.8-37700.8</f>
        <v>0</v>
      </c>
      <c r="H46" s="238">
        <v>0</v>
      </c>
      <c r="I46" s="325"/>
      <c r="J46" s="325">
        <f t="shared" si="14"/>
        <v>0</v>
      </c>
      <c r="K46" s="325">
        <v>0</v>
      </c>
      <c r="L46" s="325">
        <v>0</v>
      </c>
      <c r="M46" s="325">
        <f>60000-20000-10500-29500</f>
        <v>0</v>
      </c>
      <c r="N46" s="325">
        <f t="shared" ref="N46:N52" si="15">M46*1.044</f>
        <v>0</v>
      </c>
      <c r="O46" s="238">
        <f t="shared" ref="O46:O52" si="16">N46*1.045</f>
        <v>0</v>
      </c>
    </row>
    <row r="47" spans="1:15" s="242" customFormat="1" hidden="1" x14ac:dyDescent="0.25">
      <c r="A47" s="191"/>
      <c r="B47" s="191" t="s">
        <v>928</v>
      </c>
      <c r="C47" s="730"/>
      <c r="D47" s="376"/>
      <c r="E47" s="244"/>
      <c r="F47" s="376"/>
      <c r="G47" s="237">
        <v>28275.599999999999</v>
      </c>
      <c r="H47" s="238">
        <v>0</v>
      </c>
      <c r="I47" s="325"/>
      <c r="J47" s="325">
        <f t="shared" si="14"/>
        <v>0</v>
      </c>
      <c r="K47" s="325">
        <v>0</v>
      </c>
      <c r="L47" s="325">
        <f>SUM(H47+K47)</f>
        <v>0</v>
      </c>
      <c r="M47" s="325">
        <f>50000-35000-15000</f>
        <v>0</v>
      </c>
      <c r="N47" s="325">
        <v>0</v>
      </c>
      <c r="O47" s="238">
        <f t="shared" si="16"/>
        <v>0</v>
      </c>
    </row>
    <row r="48" spans="1:15" s="242" customFormat="1" ht="21" hidden="1" customHeight="1" x14ac:dyDescent="0.25">
      <c r="A48" s="191" t="s">
        <v>245</v>
      </c>
      <c r="B48" s="191" t="s">
        <v>1178</v>
      </c>
      <c r="C48" s="731"/>
      <c r="D48" s="535"/>
      <c r="E48" s="535"/>
      <c r="F48" s="376" t="s">
        <v>1171</v>
      </c>
      <c r="G48" s="237"/>
      <c r="H48" s="238">
        <v>0</v>
      </c>
      <c r="I48" s="325"/>
      <c r="J48" s="325">
        <f t="shared" si="14"/>
        <v>0</v>
      </c>
      <c r="K48" s="325">
        <v>0</v>
      </c>
      <c r="L48" s="325">
        <v>0</v>
      </c>
      <c r="M48" s="325">
        <f>105000-55000-32500-17500</f>
        <v>0</v>
      </c>
      <c r="N48" s="325">
        <f t="shared" si="15"/>
        <v>0</v>
      </c>
      <c r="O48" s="238">
        <f t="shared" si="16"/>
        <v>0</v>
      </c>
    </row>
    <row r="49" spans="1:15" s="242" customFormat="1" hidden="1" x14ac:dyDescent="0.25">
      <c r="A49" s="191"/>
      <c r="B49" s="191" t="s">
        <v>1190</v>
      </c>
      <c r="C49" s="732"/>
      <c r="D49" s="733"/>
      <c r="E49" s="733"/>
      <c r="F49" s="734"/>
      <c r="G49" s="735"/>
      <c r="H49" s="238">
        <v>0</v>
      </c>
      <c r="I49" s="325"/>
      <c r="J49" s="325">
        <f t="shared" si="14"/>
        <v>0</v>
      </c>
      <c r="K49" s="325">
        <v>0</v>
      </c>
      <c r="L49" s="325">
        <v>0</v>
      </c>
      <c r="M49" s="325">
        <f>150000-50000-50000-50000</f>
        <v>0</v>
      </c>
      <c r="N49" s="325">
        <f t="shared" si="15"/>
        <v>0</v>
      </c>
      <c r="O49" s="238">
        <f t="shared" si="16"/>
        <v>0</v>
      </c>
    </row>
    <row r="50" spans="1:15" s="242" customFormat="1" hidden="1" x14ac:dyDescent="0.25">
      <c r="A50" s="191"/>
      <c r="B50" s="191" t="s">
        <v>1189</v>
      </c>
      <c r="C50" s="732"/>
      <c r="D50" s="733"/>
      <c r="E50" s="733"/>
      <c r="F50" s="734"/>
      <c r="G50" s="735"/>
      <c r="H50" s="238">
        <v>0</v>
      </c>
      <c r="I50" s="325"/>
      <c r="J50" s="325">
        <f t="shared" si="14"/>
        <v>0</v>
      </c>
      <c r="K50" s="325">
        <v>0</v>
      </c>
      <c r="L50" s="325">
        <v>0</v>
      </c>
      <c r="M50" s="325">
        <f>150000-150000</f>
        <v>0</v>
      </c>
      <c r="N50" s="325">
        <f t="shared" si="15"/>
        <v>0</v>
      </c>
      <c r="O50" s="238">
        <f t="shared" si="16"/>
        <v>0</v>
      </c>
    </row>
    <row r="51" spans="1:15" s="242" customFormat="1" hidden="1" x14ac:dyDescent="0.25">
      <c r="A51" s="191"/>
      <c r="B51" s="191" t="s">
        <v>1187</v>
      </c>
      <c r="C51" s="732"/>
      <c r="D51" s="733"/>
      <c r="E51" s="733"/>
      <c r="F51" s="734"/>
      <c r="G51" s="735"/>
      <c r="H51" s="238">
        <v>0</v>
      </c>
      <c r="I51" s="325"/>
      <c r="J51" s="325">
        <f t="shared" si="14"/>
        <v>0</v>
      </c>
      <c r="K51" s="325">
        <v>0</v>
      </c>
      <c r="L51" s="325">
        <v>0</v>
      </c>
      <c r="M51" s="325">
        <f>150000-150000</f>
        <v>0</v>
      </c>
      <c r="N51" s="325">
        <f t="shared" si="15"/>
        <v>0</v>
      </c>
      <c r="O51" s="238">
        <f t="shared" si="16"/>
        <v>0</v>
      </c>
    </row>
    <row r="52" spans="1:15" s="242" customFormat="1" hidden="1" x14ac:dyDescent="0.25">
      <c r="A52" s="191"/>
      <c r="B52" s="191" t="s">
        <v>1188</v>
      </c>
      <c r="C52" s="732"/>
      <c r="D52" s="733"/>
      <c r="E52" s="733"/>
      <c r="F52" s="734"/>
      <c r="G52" s="735"/>
      <c r="H52" s="238">
        <v>0</v>
      </c>
      <c r="I52" s="325"/>
      <c r="J52" s="325">
        <f t="shared" si="14"/>
        <v>0</v>
      </c>
      <c r="K52" s="325">
        <v>0</v>
      </c>
      <c r="L52" s="325">
        <v>0</v>
      </c>
      <c r="M52" s="325">
        <f>150000-100000-20000-30000</f>
        <v>0</v>
      </c>
      <c r="N52" s="325">
        <f t="shared" si="15"/>
        <v>0</v>
      </c>
      <c r="O52" s="238">
        <f t="shared" si="16"/>
        <v>0</v>
      </c>
    </row>
    <row r="53" spans="1:15" s="242" customFormat="1" ht="18.75" customHeight="1" x14ac:dyDescent="0.25">
      <c r="A53" s="191" t="s">
        <v>336</v>
      </c>
      <c r="B53" s="191" t="s">
        <v>966</v>
      </c>
      <c r="C53" s="730" t="s">
        <v>313</v>
      </c>
      <c r="D53" s="244" t="s">
        <v>1057</v>
      </c>
      <c r="E53" s="245" t="s">
        <v>1107</v>
      </c>
      <c r="F53" s="376" t="s">
        <v>1108</v>
      </c>
      <c r="G53" s="237">
        <f>150119+99409.2+87701-0.2+0.35</f>
        <v>337229.35</v>
      </c>
      <c r="H53" s="238">
        <v>0</v>
      </c>
      <c r="I53" s="325">
        <f>87562.5-24200</f>
        <v>63362.5</v>
      </c>
      <c r="J53" s="325">
        <f>SUM(H53-I53)</f>
        <v>-63362.5</v>
      </c>
      <c r="K53" s="325">
        <v>80000</v>
      </c>
      <c r="L53" s="325">
        <f>SUM(H53+K53)</f>
        <v>80000</v>
      </c>
      <c r="M53" s="325">
        <v>0</v>
      </c>
      <c r="N53" s="325">
        <v>0</v>
      </c>
      <c r="O53" s="238">
        <v>0</v>
      </c>
    </row>
    <row r="54" spans="1:15" s="242" customFormat="1" hidden="1" x14ac:dyDescent="0.25">
      <c r="A54" s="191" t="s">
        <v>338</v>
      </c>
      <c r="B54" s="191" t="s">
        <v>1185</v>
      </c>
      <c r="C54" s="732"/>
      <c r="D54" s="733"/>
      <c r="E54" s="733"/>
      <c r="F54" s="734"/>
      <c r="G54" s="735"/>
      <c r="H54" s="238">
        <v>0</v>
      </c>
      <c r="I54" s="325"/>
      <c r="J54" s="325"/>
      <c r="K54" s="325">
        <v>0</v>
      </c>
      <c r="L54" s="325">
        <v>0</v>
      </c>
      <c r="M54" s="325">
        <f>50000-50000</f>
        <v>0</v>
      </c>
      <c r="N54" s="325">
        <f>M54*1.044</f>
        <v>0</v>
      </c>
      <c r="O54" s="238">
        <f>N54*1.045</f>
        <v>0</v>
      </c>
    </row>
    <row r="55" spans="1:15" s="242" customFormat="1" ht="16.5" hidden="1" customHeight="1" x14ac:dyDescent="0.25">
      <c r="A55" s="191" t="s">
        <v>246</v>
      </c>
      <c r="B55" s="191" t="s">
        <v>1184</v>
      </c>
      <c r="C55" s="732"/>
      <c r="D55" s="733"/>
      <c r="E55" s="733"/>
      <c r="F55" s="734" t="s">
        <v>1171</v>
      </c>
      <c r="G55" s="735"/>
      <c r="H55" s="238">
        <v>0</v>
      </c>
      <c r="I55" s="325"/>
      <c r="J55" s="325"/>
      <c r="K55" s="325">
        <v>0</v>
      </c>
      <c r="L55" s="325">
        <v>0</v>
      </c>
      <c r="M55" s="325">
        <f>300000-300000</f>
        <v>0</v>
      </c>
      <c r="N55" s="325">
        <f>M55*1.044</f>
        <v>0</v>
      </c>
      <c r="O55" s="238">
        <f>N55*1.045</f>
        <v>0</v>
      </c>
    </row>
    <row r="56" spans="1:15" s="242" customFormat="1" hidden="1" x14ac:dyDescent="0.25">
      <c r="A56" s="191"/>
      <c r="B56" s="191" t="s">
        <v>1186</v>
      </c>
      <c r="C56" s="732"/>
      <c r="D56" s="733"/>
      <c r="E56" s="733"/>
      <c r="F56" s="734"/>
      <c r="G56" s="735"/>
      <c r="H56" s="238">
        <v>0</v>
      </c>
      <c r="I56" s="325"/>
      <c r="J56" s="325"/>
      <c r="K56" s="325">
        <v>0</v>
      </c>
      <c r="L56" s="325">
        <v>0</v>
      </c>
      <c r="M56" s="325">
        <f>50000-50000</f>
        <v>0</v>
      </c>
      <c r="N56" s="325">
        <f>M56*1.044</f>
        <v>0</v>
      </c>
      <c r="O56" s="238">
        <f>N56*1.045</f>
        <v>0</v>
      </c>
    </row>
    <row r="57" spans="1:15" s="242" customFormat="1" hidden="1" x14ac:dyDescent="0.25">
      <c r="A57" s="191" t="s">
        <v>253</v>
      </c>
      <c r="B57" s="242" t="s">
        <v>1208</v>
      </c>
      <c r="C57" s="703"/>
      <c r="D57" s="441"/>
      <c r="E57" s="441"/>
      <c r="F57" s="633"/>
      <c r="G57" s="237">
        <f>33930.72-33930.72</f>
        <v>0</v>
      </c>
      <c r="H57" s="238">
        <v>0</v>
      </c>
      <c r="I57" s="325"/>
      <c r="J57" s="325">
        <f>SUM(H57-I57)</f>
        <v>0</v>
      </c>
      <c r="K57" s="325"/>
      <c r="L57" s="325">
        <f>SUM(H57+K57)</f>
        <v>0</v>
      </c>
      <c r="M57" s="325"/>
      <c r="N57" s="325"/>
      <c r="O57" s="238"/>
    </row>
    <row r="58" spans="1:15" s="242" customFormat="1" hidden="1" x14ac:dyDescent="0.25">
      <c r="A58" s="191" t="s">
        <v>254</v>
      </c>
      <c r="B58" s="191" t="s">
        <v>947</v>
      </c>
      <c r="C58" s="730"/>
      <c r="D58" s="244"/>
      <c r="E58" s="244"/>
      <c r="F58" s="376"/>
      <c r="G58" s="237">
        <v>197929.22</v>
      </c>
      <c r="H58" s="238">
        <v>0</v>
      </c>
      <c r="I58" s="325">
        <v>0</v>
      </c>
      <c r="J58" s="325">
        <f>SUM(H58-I58)</f>
        <v>0</v>
      </c>
      <c r="K58" s="325">
        <v>0</v>
      </c>
      <c r="L58" s="325">
        <f>SUM(H58+K58)</f>
        <v>0</v>
      </c>
      <c r="M58" s="325"/>
      <c r="N58" s="325"/>
      <c r="O58" s="238"/>
    </row>
    <row r="59" spans="1:15" s="242" customFormat="1" hidden="1" x14ac:dyDescent="0.25">
      <c r="A59" s="191"/>
      <c r="B59" s="191" t="s">
        <v>923</v>
      </c>
      <c r="C59" s="730"/>
      <c r="D59" s="244"/>
      <c r="E59" s="244"/>
      <c r="F59" s="376"/>
      <c r="G59" s="237">
        <v>0</v>
      </c>
      <c r="H59" s="238">
        <v>0</v>
      </c>
      <c r="I59" s="325"/>
      <c r="J59" s="325">
        <f>SUM(H59-I59)</f>
        <v>0</v>
      </c>
      <c r="K59" s="325">
        <v>0</v>
      </c>
      <c r="L59" s="325">
        <f>SUM(H59+K59)</f>
        <v>0</v>
      </c>
      <c r="M59" s="325"/>
      <c r="N59" s="325"/>
      <c r="O59" s="238"/>
    </row>
    <row r="60" spans="1:15" s="242" customFormat="1" ht="19.5" customHeight="1" x14ac:dyDescent="0.25">
      <c r="A60" s="191" t="s">
        <v>340</v>
      </c>
      <c r="B60" s="191" t="s">
        <v>1165</v>
      </c>
      <c r="C60" s="732"/>
      <c r="D60" s="733"/>
      <c r="E60" s="733"/>
      <c r="F60" s="734"/>
      <c r="G60" s="735"/>
      <c r="H60" s="238"/>
      <c r="I60" s="325"/>
      <c r="J60" s="325"/>
      <c r="K60" s="325"/>
      <c r="L60" s="325"/>
      <c r="M60" s="325">
        <f>500000-400000-36500-13500</f>
        <v>50000</v>
      </c>
      <c r="N60" s="325">
        <v>50000</v>
      </c>
      <c r="O60" s="238">
        <v>50000</v>
      </c>
    </row>
    <row r="61" spans="1:15" s="242" customFormat="1" hidden="1" x14ac:dyDescent="0.25">
      <c r="A61" s="191" t="s">
        <v>886</v>
      </c>
      <c r="B61" s="191" t="s">
        <v>1191</v>
      </c>
      <c r="C61" s="736"/>
      <c r="D61" s="733"/>
      <c r="E61" s="733"/>
      <c r="F61" s="734"/>
      <c r="G61" s="735"/>
      <c r="H61" s="238"/>
      <c r="I61" s="325"/>
      <c r="J61" s="325"/>
      <c r="K61" s="325"/>
      <c r="L61" s="325"/>
      <c r="M61" s="325">
        <f>110000-110000</f>
        <v>0</v>
      </c>
      <c r="N61" s="325">
        <f>M61*1.044</f>
        <v>0</v>
      </c>
      <c r="O61" s="238">
        <f>N61*1.045</f>
        <v>0</v>
      </c>
    </row>
    <row r="62" spans="1:15" s="242" customFormat="1" ht="23.25" customHeight="1" x14ac:dyDescent="0.25">
      <c r="A62" s="191" t="s">
        <v>886</v>
      </c>
      <c r="B62" s="242" t="s">
        <v>954</v>
      </c>
      <c r="C62" s="737" t="s">
        <v>313</v>
      </c>
      <c r="D62" s="441" t="s">
        <v>1109</v>
      </c>
      <c r="E62" s="635" t="s">
        <v>1105</v>
      </c>
      <c r="F62" s="633" t="s">
        <v>1108</v>
      </c>
      <c r="G62" s="237">
        <f>33930.72-33930.72</f>
        <v>0</v>
      </c>
      <c r="H62" s="238">
        <v>80000</v>
      </c>
      <c r="I62" s="325">
        <v>0</v>
      </c>
      <c r="J62" s="325">
        <f t="shared" ref="J62:J67" si="17">SUM(H62-I62)</f>
        <v>80000</v>
      </c>
      <c r="K62" s="325">
        <v>-60000</v>
      </c>
      <c r="L62" s="325">
        <f t="shared" ref="L62:L67" si="18">SUM(H62+K62)</f>
        <v>20000</v>
      </c>
      <c r="M62" s="325">
        <v>0</v>
      </c>
      <c r="N62" s="325"/>
      <c r="O62" s="238"/>
    </row>
    <row r="63" spans="1:15" s="242" customFormat="1" hidden="1" x14ac:dyDescent="0.25">
      <c r="A63" s="191"/>
      <c r="B63" s="242" t="s">
        <v>955</v>
      </c>
      <c r="C63" s="737"/>
      <c r="D63" s="441"/>
      <c r="E63" s="441"/>
      <c r="F63" s="633"/>
      <c r="G63" s="237">
        <f>30160.64-30160.64</f>
        <v>0</v>
      </c>
      <c r="H63" s="238">
        <v>0</v>
      </c>
      <c r="I63" s="325"/>
      <c r="J63" s="325">
        <f t="shared" si="17"/>
        <v>0</v>
      </c>
      <c r="K63" s="325">
        <v>0</v>
      </c>
      <c r="L63" s="325">
        <f t="shared" si="18"/>
        <v>0</v>
      </c>
      <c r="M63" s="325">
        <v>0</v>
      </c>
      <c r="N63" s="325"/>
      <c r="O63" s="238"/>
    </row>
    <row r="64" spans="1:15" s="242" customFormat="1" ht="24" customHeight="1" x14ac:dyDescent="0.25">
      <c r="A64" s="191"/>
      <c r="B64" s="191" t="s">
        <v>862</v>
      </c>
      <c r="C64" s="738" t="s">
        <v>1094</v>
      </c>
      <c r="D64" s="244"/>
      <c r="E64" s="245" t="s">
        <v>1095</v>
      </c>
      <c r="F64" s="246" t="s">
        <v>1093</v>
      </c>
      <c r="G64" s="237"/>
      <c r="H64" s="238">
        <v>250000</v>
      </c>
      <c r="I64" s="325"/>
      <c r="J64" s="325">
        <f t="shared" si="17"/>
        <v>250000</v>
      </c>
      <c r="K64" s="325">
        <v>0</v>
      </c>
      <c r="L64" s="325">
        <f t="shared" si="18"/>
        <v>250000</v>
      </c>
      <c r="M64" s="325">
        <f>350000-200000-50000-35890</f>
        <v>64110</v>
      </c>
      <c r="N64" s="325">
        <v>100000</v>
      </c>
      <c r="O64" s="238">
        <v>100000</v>
      </c>
    </row>
    <row r="65" spans="1:15" s="242" customFormat="1" hidden="1" x14ac:dyDescent="0.25">
      <c r="A65" s="191"/>
      <c r="B65" s="242" t="s">
        <v>944</v>
      </c>
      <c r="C65" s="737"/>
      <c r="D65" s="441"/>
      <c r="E65" s="441"/>
      <c r="F65" s="633"/>
      <c r="G65" s="237">
        <v>75401.61</v>
      </c>
      <c r="H65" s="238">
        <v>0</v>
      </c>
      <c r="I65" s="325"/>
      <c r="J65" s="325">
        <f t="shared" si="17"/>
        <v>0</v>
      </c>
      <c r="K65" s="325">
        <v>0</v>
      </c>
      <c r="L65" s="325">
        <f t="shared" si="18"/>
        <v>0</v>
      </c>
      <c r="M65" s="325">
        <f>3000000-3000000</f>
        <v>0</v>
      </c>
      <c r="N65" s="325">
        <v>0</v>
      </c>
      <c r="O65" s="238">
        <v>0</v>
      </c>
    </row>
    <row r="66" spans="1:15" s="242" customFormat="1" ht="19.5" customHeight="1" x14ac:dyDescent="0.25">
      <c r="A66" s="191"/>
      <c r="B66" s="191" t="s">
        <v>337</v>
      </c>
      <c r="C66" s="739" t="s">
        <v>313</v>
      </c>
      <c r="D66" s="244" t="s">
        <v>1099</v>
      </c>
      <c r="E66" s="245" t="s">
        <v>1098</v>
      </c>
      <c r="F66" s="246" t="s">
        <v>1093</v>
      </c>
      <c r="G66" s="237">
        <v>8671.18</v>
      </c>
      <c r="H66" s="238">
        <v>21400</v>
      </c>
      <c r="I66" s="325">
        <v>0</v>
      </c>
      <c r="J66" s="325">
        <f t="shared" si="17"/>
        <v>21400</v>
      </c>
      <c r="K66" s="325">
        <v>0</v>
      </c>
      <c r="L66" s="325">
        <f t="shared" si="18"/>
        <v>21400</v>
      </c>
      <c r="M66" s="325">
        <v>21400</v>
      </c>
      <c r="N66" s="325">
        <v>21400</v>
      </c>
      <c r="O66" s="238">
        <v>21400</v>
      </c>
    </row>
    <row r="67" spans="1:15" s="242" customFormat="1" ht="18.75" customHeight="1" x14ac:dyDescent="0.25">
      <c r="A67" s="191" t="s">
        <v>886</v>
      </c>
      <c r="B67" s="191" t="s">
        <v>946</v>
      </c>
      <c r="C67" s="739" t="s">
        <v>313</v>
      </c>
      <c r="D67" s="244" t="s">
        <v>1057</v>
      </c>
      <c r="E67" s="245" t="s">
        <v>1097</v>
      </c>
      <c r="F67" s="246" t="s">
        <v>1093</v>
      </c>
      <c r="G67" s="237">
        <v>56551.21</v>
      </c>
      <c r="H67" s="238">
        <v>16800</v>
      </c>
      <c r="I67" s="325">
        <v>0</v>
      </c>
      <c r="J67" s="325">
        <f t="shared" si="17"/>
        <v>16800</v>
      </c>
      <c r="K67" s="325">
        <v>0</v>
      </c>
      <c r="L67" s="325">
        <f t="shared" si="18"/>
        <v>16800</v>
      </c>
      <c r="M67" s="325">
        <v>16800</v>
      </c>
      <c r="N67" s="325">
        <f>M67*1.044</f>
        <v>17539.2</v>
      </c>
      <c r="O67" s="238">
        <f>N67*1.045</f>
        <v>18328.464</v>
      </c>
    </row>
    <row r="68" spans="1:15" s="242" customFormat="1" hidden="1" x14ac:dyDescent="0.25">
      <c r="A68" s="191" t="s">
        <v>886</v>
      </c>
      <c r="B68" s="191" t="s">
        <v>1163</v>
      </c>
      <c r="C68" s="736"/>
      <c r="D68" s="733"/>
      <c r="E68" s="733"/>
      <c r="F68" s="734"/>
      <c r="G68" s="735"/>
      <c r="H68" s="238"/>
      <c r="I68" s="325"/>
      <c r="J68" s="325"/>
      <c r="K68" s="325"/>
      <c r="L68" s="325"/>
      <c r="M68" s="325">
        <f>100000-50000-50000</f>
        <v>0</v>
      </c>
      <c r="N68" s="325">
        <v>0</v>
      </c>
      <c r="O68" s="238">
        <v>0</v>
      </c>
    </row>
    <row r="69" spans="1:15" s="242" customFormat="1" hidden="1" x14ac:dyDescent="0.25">
      <c r="A69" s="191"/>
      <c r="B69" s="191" t="s">
        <v>1166</v>
      </c>
      <c r="C69" s="736"/>
      <c r="D69" s="733"/>
      <c r="E69" s="733"/>
      <c r="F69" s="734"/>
      <c r="G69" s="735"/>
      <c r="H69" s="238"/>
      <c r="I69" s="325"/>
      <c r="J69" s="325"/>
      <c r="K69" s="325"/>
      <c r="L69" s="325"/>
      <c r="M69" s="325">
        <f>3000000-3000000</f>
        <v>0</v>
      </c>
      <c r="N69" s="325">
        <v>0</v>
      </c>
      <c r="O69" s="238">
        <v>0</v>
      </c>
    </row>
    <row r="70" spans="1:15" s="242" customFormat="1" hidden="1" x14ac:dyDescent="0.25">
      <c r="A70" s="191"/>
      <c r="B70" s="191" t="s">
        <v>1164</v>
      </c>
      <c r="C70" s="736"/>
      <c r="D70" s="733"/>
      <c r="E70" s="733"/>
      <c r="F70" s="734"/>
      <c r="G70" s="735"/>
      <c r="H70" s="238"/>
      <c r="I70" s="325"/>
      <c r="J70" s="325"/>
      <c r="K70" s="325"/>
      <c r="L70" s="325"/>
      <c r="M70" s="325">
        <f>120000-55800-64200</f>
        <v>0</v>
      </c>
      <c r="N70" s="325">
        <v>0</v>
      </c>
      <c r="O70" s="238">
        <v>0</v>
      </c>
    </row>
    <row r="71" spans="1:15" s="242" customFormat="1" hidden="1" x14ac:dyDescent="0.25">
      <c r="A71" s="191" t="s">
        <v>886</v>
      </c>
      <c r="B71" s="242" t="s">
        <v>949</v>
      </c>
      <c r="C71" s="737"/>
      <c r="D71" s="441"/>
      <c r="E71" s="441"/>
      <c r="F71" s="633"/>
      <c r="G71" s="237">
        <f>380118.68-380118.68</f>
        <v>0</v>
      </c>
      <c r="H71" s="238">
        <v>0</v>
      </c>
      <c r="I71" s="325"/>
      <c r="J71" s="325">
        <f>SUM(H71-I71)</f>
        <v>0</v>
      </c>
      <c r="K71" s="325"/>
      <c r="L71" s="325">
        <f>SUM(H71+K71)</f>
        <v>0</v>
      </c>
      <c r="M71" s="325">
        <v>0</v>
      </c>
      <c r="N71" s="325">
        <v>0</v>
      </c>
      <c r="O71" s="457">
        <v>0</v>
      </c>
    </row>
    <row r="72" spans="1:15" s="242" customFormat="1" hidden="1" x14ac:dyDescent="0.25">
      <c r="A72" s="191" t="s">
        <v>886</v>
      </c>
      <c r="B72" s="242" t="s">
        <v>948</v>
      </c>
      <c r="C72" s="737"/>
      <c r="D72" s="441"/>
      <c r="E72" s="441"/>
      <c r="F72" s="633"/>
      <c r="G72" s="237">
        <f>339307.23+100000-439307.23</f>
        <v>0</v>
      </c>
      <c r="H72" s="238">
        <v>0</v>
      </c>
      <c r="I72" s="325"/>
      <c r="J72" s="325">
        <f>SUM(H72-I72)</f>
        <v>0</v>
      </c>
      <c r="K72" s="325"/>
      <c r="L72" s="325">
        <f>SUM(H72+K72)</f>
        <v>0</v>
      </c>
      <c r="M72" s="325"/>
      <c r="N72" s="325">
        <v>0</v>
      </c>
      <c r="O72" s="325">
        <v>0</v>
      </c>
    </row>
    <row r="73" spans="1:15" s="242" customFormat="1" hidden="1" x14ac:dyDescent="0.25">
      <c r="A73" s="191" t="s">
        <v>886</v>
      </c>
      <c r="B73" s="191" t="s">
        <v>1181</v>
      </c>
      <c r="C73" s="736"/>
      <c r="D73" s="733"/>
      <c r="E73" s="733"/>
      <c r="F73" s="734"/>
      <c r="G73" s="735"/>
      <c r="H73" s="238"/>
      <c r="I73" s="325"/>
      <c r="J73" s="325"/>
      <c r="K73" s="325"/>
      <c r="L73" s="325"/>
      <c r="M73" s="325">
        <f>50000-50000</f>
        <v>0</v>
      </c>
      <c r="N73" s="325">
        <f>M73*1.044</f>
        <v>0</v>
      </c>
      <c r="O73" s="325">
        <f>N73*1.045</f>
        <v>0</v>
      </c>
    </row>
    <row r="74" spans="1:15" s="242" customFormat="1" x14ac:dyDescent="0.25">
      <c r="A74" s="191"/>
      <c r="B74" s="191" t="s">
        <v>1180</v>
      </c>
      <c r="C74" s="736"/>
      <c r="D74" s="733"/>
      <c r="E74" s="733"/>
      <c r="F74" s="734"/>
      <c r="G74" s="735"/>
      <c r="H74" s="238"/>
      <c r="I74" s="325"/>
      <c r="J74" s="325"/>
      <c r="K74" s="325"/>
      <c r="L74" s="325"/>
      <c r="M74" s="325">
        <f>100000-45500</f>
        <v>54500</v>
      </c>
      <c r="N74" s="325">
        <f>M74*1.044</f>
        <v>56898</v>
      </c>
      <c r="O74" s="325">
        <f>N74*1.045</f>
        <v>59458.409999999996</v>
      </c>
    </row>
    <row r="75" spans="1:15" s="242" customFormat="1" hidden="1" x14ac:dyDescent="0.25">
      <c r="A75" s="191"/>
      <c r="B75" s="191" t="s">
        <v>1179</v>
      </c>
      <c r="C75" s="738" t="s">
        <v>313</v>
      </c>
      <c r="D75" s="535" t="s">
        <v>1057</v>
      </c>
      <c r="E75" s="533"/>
      <c r="F75" s="376" t="s">
        <v>1108</v>
      </c>
      <c r="G75" s="237"/>
      <c r="H75" s="238"/>
      <c r="I75" s="325"/>
      <c r="J75" s="325"/>
      <c r="K75" s="325"/>
      <c r="L75" s="325"/>
      <c r="M75" s="325">
        <f>84500-84500</f>
        <v>0</v>
      </c>
      <c r="N75" s="325">
        <v>0</v>
      </c>
      <c r="O75" s="238">
        <v>0</v>
      </c>
    </row>
    <row r="76" spans="1:15" s="242" customFormat="1" ht="24" customHeight="1" x14ac:dyDescent="0.25">
      <c r="A76" s="191"/>
      <c r="B76" s="191" t="s">
        <v>247</v>
      </c>
      <c r="C76" s="739" t="s">
        <v>313</v>
      </c>
      <c r="D76" s="244" t="s">
        <v>1057</v>
      </c>
      <c r="E76" s="245" t="s">
        <v>1100</v>
      </c>
      <c r="F76" s="376" t="s">
        <v>1108</v>
      </c>
      <c r="G76" s="237">
        <v>176924.81</v>
      </c>
      <c r="H76" s="238">
        <v>186000</v>
      </c>
      <c r="I76" s="325">
        <v>75163.88</v>
      </c>
      <c r="J76" s="325">
        <f>SUM(H76-I76)</f>
        <v>110836.12</v>
      </c>
      <c r="K76" s="325">
        <v>0</v>
      </c>
      <c r="L76" s="325">
        <f>SUM(H76+K76)</f>
        <v>186000</v>
      </c>
      <c r="M76" s="325">
        <v>186000</v>
      </c>
      <c r="N76" s="325">
        <f>M76*1.044</f>
        <v>194184</v>
      </c>
      <c r="O76" s="238">
        <f>N76*1.045</f>
        <v>202922.28</v>
      </c>
    </row>
    <row r="77" spans="1:15" s="242" customFormat="1" ht="23.25" customHeight="1" x14ac:dyDescent="0.25">
      <c r="A77" s="191"/>
      <c r="B77" s="191" t="s">
        <v>5</v>
      </c>
      <c r="C77" s="739" t="s">
        <v>313</v>
      </c>
      <c r="D77" s="244" t="s">
        <v>1057</v>
      </c>
      <c r="E77" s="245" t="s">
        <v>1096</v>
      </c>
      <c r="F77" s="246" t="s">
        <v>1093</v>
      </c>
      <c r="G77" s="237" t="e">
        <f>#REF!*1/100</f>
        <v>#REF!</v>
      </c>
      <c r="H77" s="238">
        <f t="shared" ref="H77:O77" si="19">H30*1/100</f>
        <v>266937.33559999999</v>
      </c>
      <c r="I77" s="325">
        <f t="shared" si="19"/>
        <v>127957.6879</v>
      </c>
      <c r="J77" s="325">
        <f t="shared" si="19"/>
        <v>138979.6477</v>
      </c>
      <c r="K77" s="325">
        <f t="shared" si="19"/>
        <v>6251.1223231999948</v>
      </c>
      <c r="L77" s="325">
        <f t="shared" si="19"/>
        <v>273188.45792319998</v>
      </c>
      <c r="M77" s="325">
        <f t="shared" si="19"/>
        <v>248264.93584880003</v>
      </c>
      <c r="N77" s="325">
        <f t="shared" si="19"/>
        <v>259782.99579365124</v>
      </c>
      <c r="O77" s="238">
        <f t="shared" si="19"/>
        <v>278006.63223398553</v>
      </c>
    </row>
    <row r="78" spans="1:15" s="242" customFormat="1" ht="22.5" customHeight="1" x14ac:dyDescent="0.25">
      <c r="A78" s="191"/>
      <c r="B78" s="191" t="s">
        <v>867</v>
      </c>
      <c r="C78" s="739" t="s">
        <v>1174</v>
      </c>
      <c r="D78" s="244" t="s">
        <v>1175</v>
      </c>
      <c r="E78" s="314" t="s">
        <v>1176</v>
      </c>
      <c r="F78" s="376" t="s">
        <v>1171</v>
      </c>
      <c r="G78" s="237">
        <f>37700.8-37700.8</f>
        <v>0</v>
      </c>
      <c r="H78" s="238">
        <v>0</v>
      </c>
      <c r="I78" s="325"/>
      <c r="J78" s="325">
        <f t="shared" ref="J78:J89" si="20">SUM(H78-I78)</f>
        <v>0</v>
      </c>
      <c r="K78" s="325"/>
      <c r="L78" s="325">
        <f t="shared" ref="L78:L89" si="21">SUM(H78+K78)</f>
        <v>0</v>
      </c>
      <c r="M78" s="325">
        <f>80000-30000</f>
        <v>50000</v>
      </c>
      <c r="N78" s="325">
        <f>M78*1.044</f>
        <v>52200</v>
      </c>
      <c r="O78" s="238">
        <f>N78*1.045</f>
        <v>54548.999999999993</v>
      </c>
    </row>
    <row r="79" spans="1:15" s="242" customFormat="1" hidden="1" x14ac:dyDescent="0.25">
      <c r="A79" s="191" t="s">
        <v>475</v>
      </c>
      <c r="B79" s="191" t="s">
        <v>873</v>
      </c>
      <c r="C79" s="739"/>
      <c r="D79" s="244"/>
      <c r="E79" s="244"/>
      <c r="F79" s="376"/>
      <c r="G79" s="237"/>
      <c r="H79" s="238">
        <v>0</v>
      </c>
      <c r="I79" s="325"/>
      <c r="J79" s="325">
        <f t="shared" si="20"/>
        <v>0</v>
      </c>
      <c r="K79" s="325"/>
      <c r="L79" s="325">
        <f t="shared" si="21"/>
        <v>0</v>
      </c>
      <c r="M79" s="325">
        <v>0</v>
      </c>
      <c r="N79" s="325">
        <v>0</v>
      </c>
      <c r="O79" s="238">
        <v>0</v>
      </c>
    </row>
    <row r="80" spans="1:15" s="242" customFormat="1" hidden="1" x14ac:dyDescent="0.25">
      <c r="A80" s="191" t="s">
        <v>273</v>
      </c>
      <c r="B80" s="242" t="s">
        <v>869</v>
      </c>
      <c r="C80" s="737"/>
      <c r="D80" s="441"/>
      <c r="E80" s="441"/>
      <c r="F80" s="633"/>
      <c r="G80" s="237">
        <f>9425.2-9425.2</f>
        <v>0</v>
      </c>
      <c r="H80" s="238">
        <v>0</v>
      </c>
      <c r="I80" s="325"/>
      <c r="J80" s="325">
        <f t="shared" si="20"/>
        <v>0</v>
      </c>
      <c r="K80" s="325"/>
      <c r="L80" s="325">
        <f t="shared" si="21"/>
        <v>0</v>
      </c>
      <c r="M80" s="325">
        <f>80000-80000</f>
        <v>0</v>
      </c>
      <c r="N80" s="325">
        <f>M80*1.044</f>
        <v>0</v>
      </c>
      <c r="O80" s="238">
        <f>N80*1.045</f>
        <v>0</v>
      </c>
    </row>
    <row r="81" spans="1:15" s="242" customFormat="1" hidden="1" x14ac:dyDescent="0.25">
      <c r="A81" s="191" t="s">
        <v>477</v>
      </c>
      <c r="B81" s="242" t="s">
        <v>875</v>
      </c>
      <c r="C81" s="737"/>
      <c r="D81" s="441"/>
      <c r="E81" s="441"/>
      <c r="F81" s="633"/>
      <c r="G81" s="237"/>
      <c r="H81" s="238">
        <v>0</v>
      </c>
      <c r="I81" s="325"/>
      <c r="J81" s="325">
        <f t="shared" si="20"/>
        <v>0</v>
      </c>
      <c r="K81" s="325"/>
      <c r="L81" s="325">
        <f t="shared" si="21"/>
        <v>0</v>
      </c>
      <c r="M81" s="325"/>
      <c r="N81" s="325"/>
      <c r="O81" s="238"/>
    </row>
    <row r="82" spans="1:15" s="242" customFormat="1" hidden="1" x14ac:dyDescent="0.25">
      <c r="A82" s="191"/>
      <c r="B82" s="191" t="s">
        <v>878</v>
      </c>
      <c r="C82" s="739"/>
      <c r="D82" s="244"/>
      <c r="E82" s="244"/>
      <c r="F82" s="376"/>
      <c r="G82" s="237"/>
      <c r="H82" s="238">
        <v>0</v>
      </c>
      <c r="I82" s="325"/>
      <c r="J82" s="325">
        <f t="shared" si="20"/>
        <v>0</v>
      </c>
      <c r="K82" s="325"/>
      <c r="L82" s="325">
        <f t="shared" si="21"/>
        <v>0</v>
      </c>
      <c r="M82" s="325"/>
      <c r="N82" s="325"/>
      <c r="O82" s="238"/>
    </row>
    <row r="83" spans="1:15" s="242" customFormat="1" ht="19.5" hidden="1" customHeight="1" x14ac:dyDescent="0.25">
      <c r="A83" s="191"/>
      <c r="B83" s="191" t="s">
        <v>868</v>
      </c>
      <c r="C83" s="739" t="s">
        <v>1174</v>
      </c>
      <c r="D83" s="244" t="s">
        <v>1175</v>
      </c>
      <c r="E83" s="376"/>
      <c r="F83" s="376" t="s">
        <v>1171</v>
      </c>
      <c r="G83" s="237">
        <f>56551.21-56551.21</f>
        <v>0</v>
      </c>
      <c r="H83" s="238">
        <v>0</v>
      </c>
      <c r="I83" s="325"/>
      <c r="J83" s="325">
        <f t="shared" si="20"/>
        <v>0</v>
      </c>
      <c r="K83" s="325"/>
      <c r="L83" s="325">
        <f t="shared" si="21"/>
        <v>0</v>
      </c>
      <c r="M83" s="325">
        <f>30000-30000</f>
        <v>0</v>
      </c>
      <c r="N83" s="325">
        <f>M83*1.044</f>
        <v>0</v>
      </c>
      <c r="O83" s="238">
        <f>N83*1.045</f>
        <v>0</v>
      </c>
    </row>
    <row r="84" spans="1:15" s="242" customFormat="1" hidden="1" x14ac:dyDescent="0.25">
      <c r="A84" s="191"/>
      <c r="B84" s="191" t="s">
        <v>872</v>
      </c>
      <c r="C84" s="739"/>
      <c r="D84" s="244"/>
      <c r="E84" s="376"/>
      <c r="F84" s="244"/>
      <c r="G84" s="239"/>
      <c r="H84" s="238">
        <v>0</v>
      </c>
      <c r="I84" s="325"/>
      <c r="J84" s="325">
        <f t="shared" si="20"/>
        <v>0</v>
      </c>
      <c r="K84" s="325"/>
      <c r="L84" s="325">
        <f t="shared" si="21"/>
        <v>0</v>
      </c>
      <c r="M84" s="325"/>
      <c r="N84" s="325"/>
      <c r="O84" s="527"/>
    </row>
    <row r="85" spans="1:15" s="242" customFormat="1" hidden="1" x14ac:dyDescent="0.25">
      <c r="A85" s="191"/>
      <c r="B85" s="242" t="s">
        <v>877</v>
      </c>
      <c r="C85" s="737"/>
      <c r="D85" s="441"/>
      <c r="E85" s="633"/>
      <c r="F85" s="441"/>
      <c r="G85" s="237">
        <f>41470.88-41470.88</f>
        <v>0</v>
      </c>
      <c r="H85" s="238">
        <v>0</v>
      </c>
      <c r="I85" s="325"/>
      <c r="J85" s="325">
        <f t="shared" si="20"/>
        <v>0</v>
      </c>
      <c r="K85" s="325"/>
      <c r="L85" s="325">
        <f t="shared" si="21"/>
        <v>0</v>
      </c>
      <c r="M85" s="325"/>
      <c r="N85" s="325"/>
      <c r="O85" s="238"/>
    </row>
    <row r="86" spans="1:15" s="242" customFormat="1" ht="21" hidden="1" customHeight="1" x14ac:dyDescent="0.25">
      <c r="A86" s="191"/>
      <c r="B86" s="191" t="s">
        <v>870</v>
      </c>
      <c r="C86" s="739" t="s">
        <v>1174</v>
      </c>
      <c r="D86" s="244" t="s">
        <v>1175</v>
      </c>
      <c r="E86" s="376" t="s">
        <v>1177</v>
      </c>
      <c r="F86" s="244"/>
      <c r="G86" s="237">
        <f>62206.33-62206.33</f>
        <v>0</v>
      </c>
      <c r="H86" s="238">
        <v>0</v>
      </c>
      <c r="I86" s="325"/>
      <c r="J86" s="325">
        <f t="shared" si="20"/>
        <v>0</v>
      </c>
      <c r="K86" s="325"/>
      <c r="L86" s="325">
        <f t="shared" si="21"/>
        <v>0</v>
      </c>
      <c r="M86" s="325">
        <f>150000-150000</f>
        <v>0</v>
      </c>
      <c r="N86" s="325">
        <f>M86*1.044</f>
        <v>0</v>
      </c>
      <c r="O86" s="238">
        <f>N86*1.045</f>
        <v>0</v>
      </c>
    </row>
    <row r="87" spans="1:15" s="242" customFormat="1" hidden="1" x14ac:dyDescent="0.25">
      <c r="A87" s="191"/>
      <c r="B87" s="191" t="s">
        <v>874</v>
      </c>
      <c r="C87" s="739"/>
      <c r="D87" s="244"/>
      <c r="E87" s="376"/>
      <c r="F87" s="244"/>
      <c r="G87" s="237">
        <f>13195.28-13195.28</f>
        <v>0</v>
      </c>
      <c r="H87" s="238">
        <v>0</v>
      </c>
      <c r="I87" s="325"/>
      <c r="J87" s="325">
        <f t="shared" si="20"/>
        <v>0</v>
      </c>
      <c r="K87" s="325"/>
      <c r="L87" s="325">
        <f t="shared" si="21"/>
        <v>0</v>
      </c>
      <c r="M87" s="325"/>
      <c r="N87" s="325"/>
      <c r="O87" s="238"/>
    </row>
    <row r="88" spans="1:15" s="242" customFormat="1" hidden="1" x14ac:dyDescent="0.25">
      <c r="A88" s="191"/>
      <c r="B88" s="191" t="s">
        <v>866</v>
      </c>
      <c r="C88" s="739"/>
      <c r="D88" s="244"/>
      <c r="E88" s="376"/>
      <c r="F88" s="244"/>
      <c r="G88" s="237">
        <f>22620.48-22620.48</f>
        <v>0</v>
      </c>
      <c r="H88" s="238">
        <v>0</v>
      </c>
      <c r="I88" s="325"/>
      <c r="J88" s="325">
        <f t="shared" si="20"/>
        <v>0</v>
      </c>
      <c r="K88" s="325"/>
      <c r="L88" s="325">
        <f t="shared" si="21"/>
        <v>0</v>
      </c>
      <c r="M88" s="325"/>
      <c r="N88" s="325"/>
      <c r="O88" s="238"/>
    </row>
    <row r="89" spans="1:15" s="242" customFormat="1" hidden="1" x14ac:dyDescent="0.25">
      <c r="A89" s="191"/>
      <c r="B89" s="191" t="s">
        <v>871</v>
      </c>
      <c r="C89" s="739"/>
      <c r="D89" s="244"/>
      <c r="E89" s="376"/>
      <c r="F89" s="244"/>
      <c r="G89" s="237"/>
      <c r="H89" s="238">
        <v>0</v>
      </c>
      <c r="I89" s="325"/>
      <c r="J89" s="325">
        <f t="shared" si="20"/>
        <v>0</v>
      </c>
      <c r="K89" s="239"/>
      <c r="L89" s="238">
        <f t="shared" si="21"/>
        <v>0</v>
      </c>
      <c r="M89" s="325"/>
      <c r="N89" s="325"/>
      <c r="O89" s="238"/>
    </row>
    <row r="90" spans="1:15" s="242" customFormat="1" ht="27.95" customHeight="1" x14ac:dyDescent="0.25">
      <c r="A90" s="191"/>
      <c r="B90" s="191" t="s">
        <v>1170</v>
      </c>
      <c r="C90" s="736" t="s">
        <v>1174</v>
      </c>
      <c r="D90" s="733"/>
      <c r="E90" s="734" t="s">
        <v>1172</v>
      </c>
      <c r="F90" s="733" t="s">
        <v>1171</v>
      </c>
      <c r="G90" s="735"/>
      <c r="H90" s="238"/>
      <c r="I90" s="325"/>
      <c r="J90" s="325"/>
      <c r="K90" s="239"/>
      <c r="L90" s="238"/>
      <c r="M90" s="325">
        <f>120000-70000</f>
        <v>50000</v>
      </c>
      <c r="N90" s="325">
        <v>0</v>
      </c>
      <c r="O90" s="238">
        <f>N90*1.045</f>
        <v>0</v>
      </c>
    </row>
    <row r="91" spans="1:15" s="242" customFormat="1" hidden="1" x14ac:dyDescent="0.25">
      <c r="A91" s="191"/>
      <c r="B91" s="242" t="s">
        <v>880</v>
      </c>
      <c r="C91" s="737"/>
      <c r="D91" s="441"/>
      <c r="E91" s="633"/>
      <c r="F91" s="441"/>
      <c r="G91" s="239">
        <v>0</v>
      </c>
      <c r="H91" s="238">
        <v>0</v>
      </c>
      <c r="I91" s="239"/>
      <c r="J91" s="239">
        <f>SUM(H91-I91)</f>
        <v>0</v>
      </c>
      <c r="K91" s="239"/>
      <c r="L91" s="238">
        <f>SUM(H91+K91)</f>
        <v>0</v>
      </c>
      <c r="M91" s="239">
        <v>0</v>
      </c>
      <c r="N91" s="238">
        <v>0</v>
      </c>
      <c r="O91" s="238">
        <v>0</v>
      </c>
    </row>
    <row r="92" spans="1:15" s="242" customFormat="1" hidden="1" x14ac:dyDescent="0.25">
      <c r="A92" s="191"/>
      <c r="B92" s="242" t="s">
        <v>881</v>
      </c>
      <c r="C92" s="737"/>
      <c r="D92" s="441"/>
      <c r="E92" s="633"/>
      <c r="F92" s="441"/>
      <c r="G92" s="239">
        <v>3845.48</v>
      </c>
      <c r="H92" s="238">
        <v>0</v>
      </c>
      <c r="I92" s="239"/>
      <c r="J92" s="239">
        <f>SUM(H92-I92)</f>
        <v>0</v>
      </c>
      <c r="K92" s="239"/>
      <c r="L92" s="238">
        <f>SUM(H92+K92)</f>
        <v>0</v>
      </c>
      <c r="M92" s="239">
        <v>0</v>
      </c>
      <c r="N92" s="238">
        <v>0</v>
      </c>
      <c r="O92" s="238">
        <v>0</v>
      </c>
    </row>
    <row r="93" spans="1:15" s="242" customFormat="1" hidden="1" x14ac:dyDescent="0.25">
      <c r="A93" s="191"/>
      <c r="B93" s="242" t="s">
        <v>950</v>
      </c>
      <c r="C93" s="737"/>
      <c r="D93" s="441"/>
      <c r="E93" s="633"/>
      <c r="F93" s="441"/>
      <c r="G93" s="239">
        <f>9425.2-9425.2</f>
        <v>0</v>
      </c>
      <c r="H93" s="238">
        <v>0</v>
      </c>
      <c r="I93" s="239"/>
      <c r="J93" s="239">
        <f>SUM(H93-I93)</f>
        <v>0</v>
      </c>
      <c r="K93" s="239"/>
      <c r="L93" s="238">
        <f>SUM(H93+K93)</f>
        <v>0</v>
      </c>
      <c r="M93" s="239">
        <v>0</v>
      </c>
      <c r="N93" s="238">
        <v>0</v>
      </c>
      <c r="O93" s="238">
        <v>0</v>
      </c>
    </row>
    <row r="94" spans="1:15" s="242" customFormat="1" hidden="1" x14ac:dyDescent="0.25">
      <c r="A94" s="191"/>
      <c r="B94" s="242" t="s">
        <v>879</v>
      </c>
      <c r="C94" s="737"/>
      <c r="D94" s="441"/>
      <c r="E94" s="633"/>
      <c r="F94" s="441"/>
      <c r="G94" s="239">
        <f>18850.4-18850.4</f>
        <v>0</v>
      </c>
      <c r="H94" s="238">
        <v>0</v>
      </c>
      <c r="I94" s="239"/>
      <c r="J94" s="239">
        <f>SUM(H94-I94)</f>
        <v>0</v>
      </c>
      <c r="K94" s="239"/>
      <c r="L94" s="238">
        <f>SUM(H94+K94)</f>
        <v>0</v>
      </c>
      <c r="M94" s="239">
        <v>0</v>
      </c>
      <c r="N94" s="238">
        <v>0</v>
      </c>
      <c r="O94" s="238">
        <v>0</v>
      </c>
    </row>
    <row r="95" spans="1:15" s="242" customFormat="1" hidden="1" x14ac:dyDescent="0.25">
      <c r="A95" s="191"/>
      <c r="B95" s="191" t="s">
        <v>226</v>
      </c>
      <c r="C95" s="738"/>
      <c r="D95" s="535"/>
      <c r="E95" s="573"/>
      <c r="F95" s="244" t="s">
        <v>1093</v>
      </c>
      <c r="G95" s="239"/>
      <c r="H95" s="238"/>
      <c r="I95" s="239"/>
      <c r="J95" s="239"/>
      <c r="K95" s="239"/>
      <c r="L95" s="238"/>
      <c r="M95" s="239">
        <f>24000-24000</f>
        <v>0</v>
      </c>
      <c r="N95" s="238">
        <v>0</v>
      </c>
      <c r="O95" s="238">
        <f t="shared" ref="O95:O101" si="22">N95*1.045</f>
        <v>0</v>
      </c>
    </row>
    <row r="96" spans="1:15" s="242" customFormat="1" ht="24.75" customHeight="1" x14ac:dyDescent="0.25">
      <c r="A96" s="459"/>
      <c r="B96" s="191" t="s">
        <v>1017</v>
      </c>
      <c r="C96" s="739" t="s">
        <v>313</v>
      </c>
      <c r="D96" s="244" t="s">
        <v>1057</v>
      </c>
      <c r="E96" s="246" t="s">
        <v>1101</v>
      </c>
      <c r="F96" s="245" t="s">
        <v>1093</v>
      </c>
      <c r="G96" s="239">
        <f>242600-52000</f>
        <v>190600</v>
      </c>
      <c r="H96" s="238">
        <v>0</v>
      </c>
      <c r="I96" s="239">
        <v>36407.800000000003</v>
      </c>
      <c r="J96" s="239">
        <f t="shared" ref="J96:J102" si="23">SUM(H96-I96)</f>
        <v>-36407.800000000003</v>
      </c>
      <c r="K96" s="239">
        <v>150000</v>
      </c>
      <c r="L96" s="238">
        <f t="shared" ref="L96:L102" si="24">SUM(H96+K96)</f>
        <v>150000</v>
      </c>
      <c r="M96" s="239">
        <f>180000-30000</f>
        <v>150000</v>
      </c>
      <c r="N96" s="238">
        <f t="shared" ref="N96:N101" si="25">M96*1.044</f>
        <v>156600</v>
      </c>
      <c r="O96" s="238">
        <f t="shared" si="22"/>
        <v>163647</v>
      </c>
    </row>
    <row r="97" spans="1:15" s="242" customFormat="1" ht="24.75" customHeight="1" x14ac:dyDescent="0.25">
      <c r="A97" s="191"/>
      <c r="B97" s="242" t="s">
        <v>1019</v>
      </c>
      <c r="C97" s="737" t="s">
        <v>313</v>
      </c>
      <c r="D97" s="441" t="s">
        <v>1057</v>
      </c>
      <c r="E97" s="740" t="s">
        <v>1104</v>
      </c>
      <c r="F97" s="635" t="s">
        <v>1093</v>
      </c>
      <c r="G97" s="239"/>
      <c r="H97" s="238"/>
      <c r="I97" s="239">
        <v>1189.1199999999999</v>
      </c>
      <c r="J97" s="239">
        <f t="shared" si="23"/>
        <v>-1189.1199999999999</v>
      </c>
      <c r="K97" s="239">
        <v>4500</v>
      </c>
      <c r="L97" s="238">
        <f t="shared" si="24"/>
        <v>4500</v>
      </c>
      <c r="M97" s="239">
        <v>6520</v>
      </c>
      <c r="N97" s="238">
        <f t="shared" si="25"/>
        <v>6806.88</v>
      </c>
      <c r="O97" s="238">
        <f t="shared" si="22"/>
        <v>7113.1895999999997</v>
      </c>
    </row>
    <row r="98" spans="1:15" s="242" customFormat="1" ht="22.5" customHeight="1" x14ac:dyDescent="0.25">
      <c r="A98" s="191"/>
      <c r="B98" s="242" t="s">
        <v>339</v>
      </c>
      <c r="C98" s="737" t="s">
        <v>313</v>
      </c>
      <c r="D98" s="441" t="s">
        <v>1057</v>
      </c>
      <c r="E98" s="740" t="s">
        <v>1103</v>
      </c>
      <c r="F98" s="635" t="s">
        <v>1093</v>
      </c>
      <c r="G98" s="239">
        <v>20000</v>
      </c>
      <c r="H98" s="238">
        <v>0</v>
      </c>
      <c r="I98" s="239">
        <v>0</v>
      </c>
      <c r="J98" s="239">
        <f t="shared" si="23"/>
        <v>0</v>
      </c>
      <c r="K98" s="239">
        <v>0</v>
      </c>
      <c r="L98" s="238">
        <f t="shared" si="24"/>
        <v>0</v>
      </c>
      <c r="M98" s="239">
        <f>22000-12000</f>
        <v>10000</v>
      </c>
      <c r="N98" s="238">
        <f t="shared" si="25"/>
        <v>10440</v>
      </c>
      <c r="O98" s="238">
        <f t="shared" si="22"/>
        <v>10909.8</v>
      </c>
    </row>
    <row r="99" spans="1:15" s="242" customFormat="1" ht="22.5" customHeight="1" x14ac:dyDescent="0.25">
      <c r="A99" s="191"/>
      <c r="B99" s="191" t="s">
        <v>23</v>
      </c>
      <c r="C99" s="739" t="s">
        <v>313</v>
      </c>
      <c r="D99" s="244" t="s">
        <v>1057</v>
      </c>
      <c r="E99" s="246" t="s">
        <v>1088</v>
      </c>
      <c r="F99" s="245" t="s">
        <v>1093</v>
      </c>
      <c r="G99" s="239">
        <v>19000</v>
      </c>
      <c r="H99" s="238">
        <v>9351</v>
      </c>
      <c r="I99" s="239">
        <v>242</v>
      </c>
      <c r="J99" s="239">
        <f t="shared" si="23"/>
        <v>9109</v>
      </c>
      <c r="K99" s="239">
        <v>0</v>
      </c>
      <c r="L99" s="238">
        <f t="shared" si="24"/>
        <v>9351</v>
      </c>
      <c r="M99" s="239">
        <f>L99*1.048</f>
        <v>9799.848</v>
      </c>
      <c r="N99" s="238">
        <f t="shared" si="25"/>
        <v>10231.041312000001</v>
      </c>
      <c r="O99" s="238">
        <f t="shared" si="22"/>
        <v>10691.438171040001</v>
      </c>
    </row>
    <row r="100" spans="1:15" s="242" customFormat="1" ht="21.75" customHeight="1" x14ac:dyDescent="0.25">
      <c r="A100" s="191"/>
      <c r="B100" s="191" t="s">
        <v>984</v>
      </c>
      <c r="C100" s="739" t="s">
        <v>313</v>
      </c>
      <c r="D100" s="244" t="s">
        <v>1057</v>
      </c>
      <c r="E100" s="246" t="s">
        <v>1102</v>
      </c>
      <c r="F100" s="245" t="s">
        <v>1093</v>
      </c>
      <c r="G100" s="239"/>
      <c r="H100" s="238">
        <v>1247</v>
      </c>
      <c r="I100" s="239">
        <v>0</v>
      </c>
      <c r="J100" s="239">
        <f t="shared" si="23"/>
        <v>1247</v>
      </c>
      <c r="K100" s="239">
        <v>0</v>
      </c>
      <c r="L100" s="238">
        <f t="shared" si="24"/>
        <v>1247</v>
      </c>
      <c r="M100" s="239">
        <v>2500</v>
      </c>
      <c r="N100" s="238">
        <f t="shared" si="25"/>
        <v>2610</v>
      </c>
      <c r="O100" s="238">
        <f t="shared" si="22"/>
        <v>2727.45</v>
      </c>
    </row>
    <row r="101" spans="1:15" s="242" customFormat="1" ht="17.25" customHeight="1" x14ac:dyDescent="0.25">
      <c r="A101" s="191"/>
      <c r="B101" s="191" t="s">
        <v>7</v>
      </c>
      <c r="C101" s="739" t="s">
        <v>313</v>
      </c>
      <c r="D101" s="244" t="s">
        <v>1057</v>
      </c>
      <c r="E101" s="246" t="s">
        <v>1076</v>
      </c>
      <c r="F101" s="245" t="s">
        <v>1093</v>
      </c>
      <c r="G101" s="239">
        <v>4545.18361</v>
      </c>
      <c r="H101" s="238">
        <v>4722</v>
      </c>
      <c r="I101" s="239">
        <v>2166.37</v>
      </c>
      <c r="J101" s="239">
        <f t="shared" si="23"/>
        <v>2555.63</v>
      </c>
      <c r="K101" s="239">
        <v>0</v>
      </c>
      <c r="L101" s="238">
        <f t="shared" si="24"/>
        <v>4722</v>
      </c>
      <c r="M101" s="239">
        <v>8970</v>
      </c>
      <c r="N101" s="238">
        <f t="shared" si="25"/>
        <v>9364.68</v>
      </c>
      <c r="O101" s="238">
        <f t="shared" si="22"/>
        <v>9786.0905999999995</v>
      </c>
    </row>
    <row r="102" spans="1:15" s="242" customFormat="1" ht="19.5" customHeight="1" x14ac:dyDescent="0.25">
      <c r="A102" s="191"/>
      <c r="B102" s="191" t="s">
        <v>335</v>
      </c>
      <c r="C102" s="739" t="s">
        <v>313</v>
      </c>
      <c r="D102" s="244" t="s">
        <v>1057</v>
      </c>
      <c r="E102" s="246" t="s">
        <v>1077</v>
      </c>
      <c r="F102" s="245" t="s">
        <v>1093</v>
      </c>
      <c r="G102" s="239">
        <f>56551.21+169653.62</f>
        <v>226204.83</v>
      </c>
      <c r="H102" s="238">
        <v>61000</v>
      </c>
      <c r="I102" s="239">
        <v>0</v>
      </c>
      <c r="J102" s="239">
        <f t="shared" si="23"/>
        <v>61000</v>
      </c>
      <c r="K102" s="239">
        <v>0</v>
      </c>
      <c r="L102" s="238">
        <f t="shared" si="24"/>
        <v>61000</v>
      </c>
      <c r="M102" s="239">
        <f>485000-385000-29000-6000-10000-12500</f>
        <v>42500</v>
      </c>
      <c r="N102" s="238">
        <v>50000</v>
      </c>
      <c r="O102" s="238">
        <v>50000</v>
      </c>
    </row>
    <row r="103" spans="1:15" s="242" customFormat="1" hidden="1" x14ac:dyDescent="0.25">
      <c r="A103" s="191"/>
      <c r="B103" s="191" t="s">
        <v>1162</v>
      </c>
      <c r="C103" s="736"/>
      <c r="D103" s="733"/>
      <c r="E103" s="734"/>
      <c r="F103" s="733"/>
      <c r="G103" s="741"/>
      <c r="H103" s="238"/>
      <c r="I103" s="239"/>
      <c r="J103" s="239"/>
      <c r="K103" s="239"/>
      <c r="L103" s="238"/>
      <c r="M103" s="239">
        <f>350000-350000</f>
        <v>0</v>
      </c>
      <c r="N103" s="238">
        <v>0</v>
      </c>
      <c r="O103" s="238">
        <v>0</v>
      </c>
    </row>
    <row r="104" spans="1:15" s="242" customFormat="1" x14ac:dyDescent="0.25">
      <c r="A104" s="191"/>
      <c r="B104" s="191" t="s">
        <v>1160</v>
      </c>
      <c r="C104" s="736"/>
      <c r="D104" s="733"/>
      <c r="E104" s="734"/>
      <c r="F104" s="733"/>
      <c r="G104" s="741"/>
      <c r="H104" s="238"/>
      <c r="I104" s="239"/>
      <c r="J104" s="239"/>
      <c r="K104" s="239"/>
      <c r="L104" s="238"/>
      <c r="M104" s="239">
        <f>550000-65000-100000</f>
        <v>385000</v>
      </c>
      <c r="N104" s="238">
        <v>0</v>
      </c>
      <c r="O104" s="238">
        <v>0</v>
      </c>
    </row>
    <row r="105" spans="1:15" s="242" customFormat="1" hidden="1" x14ac:dyDescent="0.25">
      <c r="A105" s="191"/>
      <c r="B105" s="191" t="s">
        <v>1161</v>
      </c>
      <c r="C105" s="736"/>
      <c r="D105" s="733"/>
      <c r="E105" s="734"/>
      <c r="F105" s="733"/>
      <c r="G105" s="741"/>
      <c r="H105" s="238"/>
      <c r="I105" s="239"/>
      <c r="J105" s="239"/>
      <c r="K105" s="239"/>
      <c r="L105" s="238"/>
      <c r="M105" s="239">
        <f>450000-150000-100000-200000</f>
        <v>0</v>
      </c>
      <c r="N105" s="238">
        <v>0</v>
      </c>
      <c r="O105" s="238">
        <v>0</v>
      </c>
    </row>
    <row r="106" spans="1:15" s="242" customFormat="1" hidden="1" x14ac:dyDescent="0.25">
      <c r="A106" s="191"/>
      <c r="B106" s="191" t="s">
        <v>1182</v>
      </c>
      <c r="C106" s="739"/>
      <c r="D106" s="244"/>
      <c r="E106" s="376" t="s">
        <v>1173</v>
      </c>
      <c r="F106" s="244" t="s">
        <v>1183</v>
      </c>
      <c r="G106" s="239"/>
      <c r="H106" s="238"/>
      <c r="I106" s="239"/>
      <c r="J106" s="239"/>
      <c r="K106" s="239"/>
      <c r="L106" s="238"/>
      <c r="M106" s="239">
        <f>30000-30000</f>
        <v>0</v>
      </c>
      <c r="N106" s="238">
        <v>0</v>
      </c>
      <c r="O106" s="238">
        <f>N106*1.045</f>
        <v>0</v>
      </c>
    </row>
    <row r="107" spans="1:15" s="242" customFormat="1" x14ac:dyDescent="0.25">
      <c r="A107" s="191"/>
      <c r="B107" s="191" t="s">
        <v>1308</v>
      </c>
      <c r="C107" s="739"/>
      <c r="D107" s="244"/>
      <c r="E107" s="376"/>
      <c r="F107" s="244"/>
      <c r="G107" s="239"/>
      <c r="H107" s="238">
        <v>0</v>
      </c>
      <c r="I107" s="239"/>
      <c r="J107" s="239"/>
      <c r="K107" s="239"/>
      <c r="L107" s="238">
        <v>0</v>
      </c>
      <c r="M107" s="239">
        <v>125000</v>
      </c>
      <c r="N107" s="238">
        <v>0</v>
      </c>
      <c r="O107" s="238">
        <v>0</v>
      </c>
    </row>
    <row r="108" spans="1:15" s="242" customFormat="1" ht="16.5" thickBot="1" x14ac:dyDescent="0.3">
      <c r="A108" s="442"/>
      <c r="C108" s="742"/>
      <c r="D108" s="743"/>
      <c r="E108" s="549"/>
      <c r="F108" s="743"/>
      <c r="G108" s="678" t="e">
        <f t="shared" ref="G108:L108" si="26">SUM(G42:G90)</f>
        <v>#REF!</v>
      </c>
      <c r="H108" s="744">
        <f t="shared" si="26"/>
        <v>914237.33559999999</v>
      </c>
      <c r="I108" s="470">
        <f t="shared" si="26"/>
        <v>266484.06790000002</v>
      </c>
      <c r="J108" s="470">
        <f t="shared" si="26"/>
        <v>647753.26769999997</v>
      </c>
      <c r="K108" s="470">
        <f t="shared" si="26"/>
        <v>51251.122323199997</v>
      </c>
      <c r="L108" s="470">
        <f t="shared" si="26"/>
        <v>945488.45792319998</v>
      </c>
      <c r="M108" s="470">
        <f>SUM(M42:M107)</f>
        <v>1574464.7838488</v>
      </c>
      <c r="N108" s="470">
        <f>SUM(N42:N107)</f>
        <v>1093053.1971056513</v>
      </c>
      <c r="O108" s="470">
        <f>SUM(O42:O107)</f>
        <v>1136560.9926050254</v>
      </c>
    </row>
    <row r="109" spans="1:15" s="242" customFormat="1" x14ac:dyDescent="0.25">
      <c r="A109" s="442"/>
      <c r="C109" s="745"/>
      <c r="D109" s="746"/>
      <c r="E109" s="746"/>
      <c r="F109" s="746"/>
      <c r="G109" s="336"/>
      <c r="H109" s="237"/>
      <c r="I109" s="336"/>
      <c r="J109" s="336"/>
      <c r="K109" s="336"/>
      <c r="L109" s="336"/>
      <c r="M109" s="418"/>
      <c r="N109" s="336"/>
      <c r="O109" s="336"/>
    </row>
    <row r="110" spans="1:15" s="242" customFormat="1" ht="16.5" thickBot="1" x14ac:dyDescent="0.3">
      <c r="A110" s="747"/>
      <c r="C110" s="745"/>
      <c r="D110" s="746"/>
      <c r="E110" s="746"/>
      <c r="F110" s="746"/>
      <c r="G110" s="470" t="e">
        <f t="shared" ref="G110:O110" si="27">G30+G39+G108</f>
        <v>#REF!</v>
      </c>
      <c r="H110" s="748">
        <f t="shared" si="27"/>
        <v>27651577.795599997</v>
      </c>
      <c r="I110" s="678">
        <f t="shared" si="27"/>
        <v>13409175.327900002</v>
      </c>
      <c r="J110" s="678">
        <f t="shared" si="27"/>
        <v>14242402.467700001</v>
      </c>
      <c r="K110" s="678">
        <f t="shared" si="27"/>
        <v>979678.35464319948</v>
      </c>
      <c r="L110" s="678">
        <f t="shared" si="27"/>
        <v>28611256.150243197</v>
      </c>
      <c r="M110" s="678">
        <f t="shared" si="27"/>
        <v>26764532.519928802</v>
      </c>
      <c r="N110" s="678">
        <f t="shared" si="27"/>
        <v>27450924.190323573</v>
      </c>
      <c r="O110" s="678">
        <f t="shared" si="27"/>
        <v>29333876.343479753</v>
      </c>
    </row>
    <row r="111" spans="1:15" s="242" customFormat="1" x14ac:dyDescent="0.25">
      <c r="C111" s="745"/>
      <c r="D111" s="746"/>
      <c r="E111" s="746"/>
      <c r="F111" s="746"/>
      <c r="G111" s="336"/>
      <c r="H111" s="237"/>
      <c r="I111" s="336"/>
      <c r="J111" s="336"/>
      <c r="K111" s="336"/>
      <c r="L111" s="336"/>
      <c r="M111" s="418"/>
      <c r="N111" s="336"/>
      <c r="O111" s="336"/>
    </row>
    <row r="112" spans="1:15" s="242" customFormat="1" x14ac:dyDescent="0.25">
      <c r="A112" s="242" t="s">
        <v>309</v>
      </c>
      <c r="B112" s="242" t="s">
        <v>126</v>
      </c>
      <c r="C112" s="749"/>
      <c r="D112" s="750"/>
      <c r="E112" s="751"/>
      <c r="F112" s="752"/>
      <c r="G112" s="343">
        <f>39585.84+67861.45+169653.62+28275.6-5000-30000</f>
        <v>270376.50999999995</v>
      </c>
      <c r="H112" s="344">
        <v>0</v>
      </c>
      <c r="I112" s="359">
        <v>20674.490000000002</v>
      </c>
      <c r="J112" s="359">
        <f>SUM(H112-I112)</f>
        <v>-20674.490000000002</v>
      </c>
      <c r="K112" s="359">
        <v>20674</v>
      </c>
      <c r="L112" s="359">
        <f>SUM(H112+K112)</f>
        <v>20674</v>
      </c>
      <c r="M112" s="359">
        <f>264100-264100</f>
        <v>0</v>
      </c>
      <c r="N112" s="359">
        <v>0</v>
      </c>
      <c r="O112" s="344">
        <v>0</v>
      </c>
    </row>
    <row r="113" spans="1:15" s="242" customFormat="1" x14ac:dyDescent="0.25">
      <c r="B113" s="242" t="s">
        <v>989</v>
      </c>
      <c r="C113" s="703"/>
      <c r="D113" s="441"/>
      <c r="E113" s="633"/>
      <c r="F113" s="704"/>
      <c r="G113" s="237">
        <v>0</v>
      </c>
      <c r="H113" s="238">
        <v>0</v>
      </c>
      <c r="I113" s="325">
        <v>24200</v>
      </c>
      <c r="J113" s="325">
        <f t="shared" ref="J113:J115" si="28">SUM(H113-I113)</f>
        <v>-24200</v>
      </c>
      <c r="K113" s="325">
        <v>24200</v>
      </c>
      <c r="L113" s="325">
        <f t="shared" ref="L113:L115" si="29">SUM(H113+K113)</f>
        <v>24200</v>
      </c>
      <c r="M113" s="325">
        <v>0</v>
      </c>
      <c r="N113" s="325">
        <v>0</v>
      </c>
      <c r="O113" s="238">
        <v>0</v>
      </c>
    </row>
    <row r="114" spans="1:15" s="242" customFormat="1" hidden="1" x14ac:dyDescent="0.25">
      <c r="A114" s="242" t="s">
        <v>532</v>
      </c>
      <c r="B114" s="242" t="s">
        <v>534</v>
      </c>
      <c r="C114" s="703"/>
      <c r="D114" s="441"/>
      <c r="E114" s="633"/>
      <c r="F114" s="704"/>
      <c r="G114" s="237">
        <v>0</v>
      </c>
      <c r="H114" s="238">
        <v>0</v>
      </c>
      <c r="I114" s="325"/>
      <c r="J114" s="325">
        <f t="shared" si="28"/>
        <v>0</v>
      </c>
      <c r="K114" s="325"/>
      <c r="L114" s="325">
        <f t="shared" si="29"/>
        <v>0</v>
      </c>
      <c r="M114" s="325"/>
      <c r="N114" s="325">
        <v>0</v>
      </c>
      <c r="O114" s="238"/>
    </row>
    <row r="115" spans="1:15" s="242" customFormat="1" x14ac:dyDescent="0.25">
      <c r="A115" s="242" t="s">
        <v>533</v>
      </c>
      <c r="B115" s="242" t="s">
        <v>535</v>
      </c>
      <c r="C115" s="703"/>
      <c r="D115" s="441"/>
      <c r="E115" s="633"/>
      <c r="F115" s="704"/>
      <c r="G115" s="237">
        <v>339307.23</v>
      </c>
      <c r="H115" s="238">
        <f>G115*1.046</f>
        <v>354915.36258000002</v>
      </c>
      <c r="I115" s="325"/>
      <c r="J115" s="325">
        <f t="shared" si="28"/>
        <v>354915.36258000002</v>
      </c>
      <c r="K115" s="325">
        <v>0</v>
      </c>
      <c r="L115" s="325">
        <f t="shared" si="29"/>
        <v>354915.36258000002</v>
      </c>
      <c r="M115" s="325">
        <v>450000</v>
      </c>
      <c r="N115" s="325">
        <v>0</v>
      </c>
      <c r="O115" s="238">
        <v>0</v>
      </c>
    </row>
    <row r="116" spans="1:15" s="242" customFormat="1" hidden="1" x14ac:dyDescent="0.25">
      <c r="B116" s="242" t="s">
        <v>974</v>
      </c>
      <c r="C116" s="703"/>
      <c r="D116" s="441"/>
      <c r="E116" s="633"/>
      <c r="F116" s="704"/>
      <c r="G116" s="538">
        <v>30000</v>
      </c>
      <c r="H116" s="348"/>
      <c r="I116" s="326"/>
      <c r="J116" s="326"/>
      <c r="K116" s="326"/>
      <c r="L116" s="326"/>
      <c r="M116" s="485"/>
      <c r="N116" s="326"/>
      <c r="O116" s="348"/>
    </row>
    <row r="117" spans="1:15" s="242" customFormat="1" x14ac:dyDescent="0.25">
      <c r="C117" s="753"/>
      <c r="D117" s="444"/>
      <c r="E117" s="443"/>
      <c r="F117" s="445"/>
      <c r="G117" s="349">
        <f>SUM(G112:G116)</f>
        <v>639683.74</v>
      </c>
      <c r="H117" s="349">
        <f>SUM(H112:H116)</f>
        <v>354915.36258000002</v>
      </c>
      <c r="I117" s="349">
        <f t="shared" ref="I117:O117" si="30">SUM(I112:I116)</f>
        <v>44874.490000000005</v>
      </c>
      <c r="J117" s="349">
        <f t="shared" si="30"/>
        <v>310040.87258000002</v>
      </c>
      <c r="K117" s="349">
        <f t="shared" si="30"/>
        <v>44874</v>
      </c>
      <c r="L117" s="349">
        <f t="shared" si="30"/>
        <v>399789.36258000002</v>
      </c>
      <c r="M117" s="349">
        <f t="shared" si="30"/>
        <v>450000</v>
      </c>
      <c r="N117" s="349">
        <f t="shared" si="30"/>
        <v>0</v>
      </c>
      <c r="O117" s="349">
        <f t="shared" si="30"/>
        <v>0</v>
      </c>
    </row>
    <row r="118" spans="1:15" s="242" customFormat="1" x14ac:dyDescent="0.25">
      <c r="C118" s="745"/>
      <c r="D118" s="746"/>
      <c r="E118" s="746"/>
      <c r="F118" s="746"/>
      <c r="G118" s="336"/>
      <c r="H118" s="237"/>
      <c r="I118" s="336"/>
      <c r="J118" s="336"/>
      <c r="K118" s="336"/>
      <c r="L118" s="336"/>
      <c r="M118" s="418"/>
      <c r="N118" s="336"/>
      <c r="O118" s="336"/>
    </row>
    <row r="119" spans="1:15" s="242" customFormat="1" ht="16.5" thickBot="1" x14ac:dyDescent="0.3">
      <c r="C119" s="754"/>
      <c r="D119" s="755"/>
      <c r="E119" s="755"/>
      <c r="F119" s="755"/>
      <c r="G119" s="354" t="e">
        <f>+G110+G117</f>
        <v>#REF!</v>
      </c>
      <c r="H119" s="584">
        <f>+H110+H117</f>
        <v>28006493.158179998</v>
      </c>
      <c r="I119" s="506">
        <f t="shared" ref="I119:O119" si="31">+I110+I117</f>
        <v>13454049.817900002</v>
      </c>
      <c r="J119" s="506">
        <f t="shared" si="31"/>
        <v>14552443.34028</v>
      </c>
      <c r="K119" s="506">
        <f t="shared" si="31"/>
        <v>1024552.3546431995</v>
      </c>
      <c r="L119" s="506">
        <f t="shared" si="31"/>
        <v>29011045.512823198</v>
      </c>
      <c r="M119" s="506">
        <f t="shared" si="31"/>
        <v>27214532.519928802</v>
      </c>
      <c r="N119" s="506">
        <f t="shared" si="31"/>
        <v>27450924.190323573</v>
      </c>
      <c r="O119" s="506">
        <f t="shared" si="31"/>
        <v>29333876.343479753</v>
      </c>
    </row>
    <row r="120" spans="1:15" s="242" customFormat="1" x14ac:dyDescent="0.25">
      <c r="C120" s="745"/>
      <c r="D120" s="746"/>
      <c r="E120" s="746"/>
      <c r="F120" s="746"/>
      <c r="G120" s="336"/>
      <c r="H120" s="336"/>
      <c r="I120" s="336"/>
      <c r="J120" s="336"/>
      <c r="K120" s="336"/>
      <c r="L120" s="336"/>
      <c r="M120" s="336"/>
      <c r="N120" s="336"/>
      <c r="O120" s="336"/>
    </row>
    <row r="121" spans="1:15" s="242" customFormat="1" x14ac:dyDescent="0.25">
      <c r="C121" s="745"/>
      <c r="D121" s="746"/>
      <c r="E121" s="746"/>
      <c r="F121" s="746"/>
      <c r="G121" s="336"/>
      <c r="H121" s="336"/>
      <c r="I121" s="336"/>
      <c r="J121" s="336"/>
      <c r="K121" s="336"/>
      <c r="L121" s="336"/>
      <c r="M121" s="336"/>
      <c r="N121" s="336"/>
      <c r="O121" s="336"/>
    </row>
    <row r="122" spans="1:15" s="242" customFormat="1" x14ac:dyDescent="0.25">
      <c r="C122" s="745"/>
      <c r="D122" s="746"/>
      <c r="E122" s="746"/>
      <c r="F122" s="746"/>
      <c r="G122" s="336"/>
      <c r="H122" s="336"/>
      <c r="I122" s="336"/>
      <c r="J122" s="336"/>
      <c r="K122" s="336"/>
      <c r="L122" s="336"/>
      <c r="M122" s="336"/>
      <c r="N122" s="336"/>
      <c r="O122" s="336"/>
    </row>
    <row r="123" spans="1:15" s="242" customFormat="1" x14ac:dyDescent="0.25">
      <c r="C123" s="745"/>
      <c r="D123" s="746"/>
      <c r="E123" s="746"/>
      <c r="F123" s="746"/>
      <c r="G123" s="336"/>
      <c r="H123" s="336"/>
      <c r="I123" s="336"/>
      <c r="J123" s="336"/>
      <c r="K123" s="336"/>
      <c r="L123" s="336"/>
      <c r="M123" s="336"/>
      <c r="N123" s="336"/>
      <c r="O123" s="336"/>
    </row>
    <row r="124" spans="1:15" s="242" customFormat="1" x14ac:dyDescent="0.25">
      <c r="C124" s="745"/>
      <c r="D124" s="746"/>
      <c r="E124" s="746"/>
      <c r="F124" s="746"/>
      <c r="G124" s="336"/>
      <c r="H124" s="336"/>
      <c r="I124" s="336"/>
      <c r="J124" s="336"/>
      <c r="K124" s="336"/>
      <c r="L124" s="336"/>
      <c r="M124" s="336"/>
      <c r="N124" s="336"/>
      <c r="O124" s="336"/>
    </row>
    <row r="125" spans="1:15" s="242" customFormat="1" hidden="1" x14ac:dyDescent="0.25">
      <c r="A125" s="242" t="s">
        <v>864</v>
      </c>
      <c r="C125" s="745"/>
      <c r="D125" s="746"/>
      <c r="E125" s="746"/>
      <c r="F125" s="746"/>
      <c r="G125" s="336"/>
      <c r="H125" s="336"/>
      <c r="I125" s="336"/>
      <c r="J125" s="336"/>
      <c r="K125" s="336"/>
      <c r="L125" s="336"/>
      <c r="M125" s="336"/>
      <c r="N125" s="336"/>
      <c r="O125" s="336"/>
    </row>
    <row r="126" spans="1:15" s="242" customFormat="1" hidden="1" x14ac:dyDescent="0.25">
      <c r="A126" s="442" t="s">
        <v>847</v>
      </c>
      <c r="C126" s="745"/>
      <c r="D126" s="746"/>
      <c r="E126" s="746"/>
      <c r="F126" s="746"/>
      <c r="G126" s="336"/>
      <c r="H126" s="336"/>
      <c r="I126" s="336"/>
      <c r="J126" s="336"/>
      <c r="K126" s="336"/>
      <c r="L126" s="336"/>
      <c r="M126" s="336"/>
      <c r="N126" s="336"/>
      <c r="O126" s="336"/>
    </row>
    <row r="127" spans="1:15" s="242" customFormat="1" hidden="1" x14ac:dyDescent="0.25">
      <c r="A127" s="756" t="s">
        <v>243</v>
      </c>
      <c r="B127" s="728" t="s">
        <v>244</v>
      </c>
      <c r="C127" s="757"/>
      <c r="D127" s="481"/>
      <c r="E127" s="481"/>
      <c r="F127" s="481"/>
      <c r="G127" s="342" t="e">
        <f>#REF!*106.65/100</f>
        <v>#REF!</v>
      </c>
      <c r="H127" s="359" t="e">
        <f t="shared" ref="H127:H136" si="32">G127*106.65/100</f>
        <v>#REF!</v>
      </c>
      <c r="I127" s="239"/>
      <c r="J127" s="239"/>
      <c r="K127" s="239"/>
      <c r="L127" s="239"/>
      <c r="M127" s="239"/>
      <c r="N127" s="336"/>
      <c r="O127" s="336"/>
    </row>
    <row r="128" spans="1:15" s="242" customFormat="1" hidden="1" x14ac:dyDescent="0.25">
      <c r="A128" s="243" t="s">
        <v>246</v>
      </c>
      <c r="B128" s="191" t="s">
        <v>247</v>
      </c>
      <c r="C128" s="758"/>
      <c r="D128" s="442"/>
      <c r="E128" s="442"/>
      <c r="F128" s="442"/>
      <c r="G128" s="336" t="e">
        <f>#REF!*106.65/100</f>
        <v>#REF!</v>
      </c>
      <c r="H128" s="325" t="e">
        <f t="shared" si="32"/>
        <v>#REF!</v>
      </c>
      <c r="I128" s="239"/>
      <c r="J128" s="239"/>
      <c r="K128" s="239"/>
      <c r="L128" s="239"/>
      <c r="M128" s="239"/>
      <c r="N128" s="336"/>
      <c r="O128" s="336"/>
    </row>
    <row r="129" spans="1:15" s="242" customFormat="1" hidden="1" x14ac:dyDescent="0.25">
      <c r="A129" s="244"/>
      <c r="B129" s="242" t="s">
        <v>849</v>
      </c>
      <c r="C129" s="745"/>
      <c r="D129" s="746"/>
      <c r="E129" s="746"/>
      <c r="F129" s="746"/>
      <c r="G129" s="336" t="e">
        <f>#REF!*106.65/100</f>
        <v>#REF!</v>
      </c>
      <c r="H129" s="325" t="e">
        <f t="shared" si="32"/>
        <v>#REF!</v>
      </c>
      <c r="I129" s="239"/>
      <c r="J129" s="239"/>
      <c r="K129" s="239"/>
      <c r="L129" s="239"/>
      <c r="M129" s="239"/>
      <c r="N129" s="336"/>
      <c r="O129" s="336"/>
    </row>
    <row r="130" spans="1:15" s="242" customFormat="1" hidden="1" x14ac:dyDescent="0.25">
      <c r="A130" s="243" t="s">
        <v>338</v>
      </c>
      <c r="B130" s="191" t="s">
        <v>337</v>
      </c>
      <c r="C130" s="758"/>
      <c r="D130" s="442"/>
      <c r="E130" s="442"/>
      <c r="F130" s="442"/>
      <c r="G130" s="336" t="e">
        <f>#REF!*106.65/100</f>
        <v>#REF!</v>
      </c>
      <c r="H130" s="325" t="e">
        <f t="shared" si="32"/>
        <v>#REF!</v>
      </c>
      <c r="I130" s="239"/>
      <c r="J130" s="239"/>
      <c r="K130" s="239"/>
      <c r="L130" s="239"/>
      <c r="M130" s="239"/>
      <c r="N130" s="336"/>
      <c r="O130" s="336"/>
    </row>
    <row r="131" spans="1:15" s="242" customFormat="1" hidden="1" x14ac:dyDescent="0.25">
      <c r="A131" s="243" t="s">
        <v>336</v>
      </c>
      <c r="B131" s="191" t="s">
        <v>335</v>
      </c>
      <c r="C131" s="758"/>
      <c r="D131" s="442"/>
      <c r="E131" s="442"/>
      <c r="F131" s="442"/>
      <c r="G131" s="336" t="e">
        <f>#REF!*106.65/100</f>
        <v>#REF!</v>
      </c>
      <c r="H131" s="325" t="e">
        <f t="shared" si="32"/>
        <v>#REF!</v>
      </c>
      <c r="I131" s="239"/>
      <c r="J131" s="239"/>
      <c r="K131" s="239"/>
      <c r="L131" s="239"/>
      <c r="M131" s="239"/>
      <c r="N131" s="336"/>
      <c r="O131" s="336"/>
    </row>
    <row r="132" spans="1:15" s="242" customFormat="1" hidden="1" x14ac:dyDescent="0.25">
      <c r="A132" s="244"/>
      <c r="B132" s="242" t="s">
        <v>848</v>
      </c>
      <c r="C132" s="745"/>
      <c r="D132" s="746"/>
      <c r="E132" s="746"/>
      <c r="F132" s="746"/>
      <c r="G132" s="336" t="e">
        <f>#REF!*106.65/100</f>
        <v>#REF!</v>
      </c>
      <c r="H132" s="325" t="e">
        <f t="shared" si="32"/>
        <v>#REF!</v>
      </c>
      <c r="I132" s="239"/>
      <c r="J132" s="239"/>
      <c r="K132" s="239"/>
      <c r="L132" s="239"/>
      <c r="M132" s="239"/>
      <c r="N132" s="336"/>
      <c r="O132" s="336"/>
    </row>
    <row r="133" spans="1:15" s="242" customFormat="1" hidden="1" x14ac:dyDescent="0.25">
      <c r="A133" s="243" t="s">
        <v>253</v>
      </c>
      <c r="B133" s="191" t="s">
        <v>21</v>
      </c>
      <c r="C133" s="758"/>
      <c r="D133" s="442"/>
      <c r="E133" s="442"/>
      <c r="F133" s="442"/>
      <c r="G133" s="336" t="e">
        <f>#REF!*106.65/100</f>
        <v>#REF!</v>
      </c>
      <c r="H133" s="325" t="e">
        <f t="shared" si="32"/>
        <v>#REF!</v>
      </c>
      <c r="I133" s="239"/>
      <c r="J133" s="239"/>
      <c r="K133" s="239"/>
      <c r="L133" s="239"/>
      <c r="M133" s="239"/>
      <c r="N133" s="336"/>
      <c r="O133" s="336"/>
    </row>
    <row r="134" spans="1:15" s="242" customFormat="1" hidden="1" x14ac:dyDescent="0.25">
      <c r="A134" s="243" t="s">
        <v>254</v>
      </c>
      <c r="B134" s="191" t="s">
        <v>23</v>
      </c>
      <c r="C134" s="758"/>
      <c r="D134" s="442"/>
      <c r="E134" s="442"/>
      <c r="F134" s="442"/>
      <c r="G134" s="336" t="e">
        <f>#REF!*106.65/100</f>
        <v>#REF!</v>
      </c>
      <c r="H134" s="325" t="e">
        <f t="shared" si="32"/>
        <v>#REF!</v>
      </c>
      <c r="I134" s="239"/>
      <c r="J134" s="239"/>
      <c r="K134" s="239"/>
      <c r="L134" s="239"/>
      <c r="M134" s="239"/>
      <c r="N134" s="336"/>
      <c r="O134" s="336"/>
    </row>
    <row r="135" spans="1:15" s="242" customFormat="1" hidden="1" x14ac:dyDescent="0.25">
      <c r="A135" s="243" t="s">
        <v>340</v>
      </c>
      <c r="B135" s="242" t="s">
        <v>339</v>
      </c>
      <c r="C135" s="745"/>
      <c r="D135" s="746"/>
      <c r="E135" s="746"/>
      <c r="F135" s="746"/>
      <c r="G135" s="336" t="e">
        <f>#REF!*106.65/100</f>
        <v>#REF!</v>
      </c>
      <c r="H135" s="325" t="e">
        <f t="shared" si="32"/>
        <v>#REF!</v>
      </c>
      <c r="I135" s="239"/>
      <c r="J135" s="239"/>
      <c r="K135" s="239"/>
      <c r="L135" s="239"/>
      <c r="M135" s="239"/>
      <c r="N135" s="336"/>
      <c r="O135" s="336"/>
    </row>
    <row r="136" spans="1:15" s="242" customFormat="1" hidden="1" x14ac:dyDescent="0.25">
      <c r="A136" s="364"/>
      <c r="B136" s="759" t="s">
        <v>850</v>
      </c>
      <c r="C136" s="760"/>
      <c r="D136" s="761"/>
      <c r="E136" s="761"/>
      <c r="F136" s="761"/>
      <c r="G136" s="358" t="e">
        <f>#REF!*106.65/100</f>
        <v>#REF!</v>
      </c>
      <c r="H136" s="326" t="e">
        <f t="shared" si="32"/>
        <v>#REF!</v>
      </c>
      <c r="I136" s="239"/>
      <c r="J136" s="239"/>
      <c r="K136" s="239"/>
      <c r="L136" s="239"/>
      <c r="M136" s="239"/>
      <c r="N136" s="336"/>
      <c r="O136" s="336"/>
    </row>
    <row r="137" spans="1:15" s="242" customFormat="1" ht="16.5" hidden="1" thickBot="1" x14ac:dyDescent="0.3">
      <c r="A137" s="442"/>
      <c r="C137" s="745"/>
      <c r="D137" s="746"/>
      <c r="E137" s="746"/>
      <c r="F137" s="746"/>
      <c r="G137" s="762" t="e">
        <f>SUM(G127:G136)</f>
        <v>#REF!</v>
      </c>
      <c r="H137" s="762" t="e">
        <f>SUM(H127:H136)</f>
        <v>#REF!</v>
      </c>
      <c r="I137" s="239"/>
      <c r="J137" s="239"/>
      <c r="K137" s="239"/>
      <c r="L137" s="239"/>
      <c r="M137" s="239"/>
      <c r="N137" s="336"/>
      <c r="O137" s="336"/>
    </row>
    <row r="138" spans="1:15" s="242" customFormat="1" hidden="1" x14ac:dyDescent="0.25">
      <c r="A138" s="746" t="s">
        <v>851</v>
      </c>
      <c r="C138" s="745"/>
      <c r="D138" s="746"/>
      <c r="E138" s="746"/>
      <c r="F138" s="746"/>
      <c r="G138" s="336"/>
      <c r="H138" s="336"/>
      <c r="I138" s="336"/>
      <c r="J138" s="336"/>
      <c r="K138" s="336"/>
      <c r="L138" s="336"/>
      <c r="M138" s="336"/>
      <c r="N138" s="336"/>
      <c r="O138" s="336"/>
    </row>
    <row r="139" spans="1:15" s="242" customFormat="1" hidden="1" x14ac:dyDescent="0.25">
      <c r="A139" s="767" t="s">
        <v>853</v>
      </c>
      <c r="B139" s="763" t="s">
        <v>854</v>
      </c>
      <c r="C139" s="764"/>
      <c r="D139" s="765"/>
      <c r="E139" s="765"/>
      <c r="F139" s="765"/>
      <c r="G139" s="342" t="e">
        <f>#REF!*106.65/100</f>
        <v>#REF!</v>
      </c>
      <c r="H139" s="359" t="e">
        <f t="shared" ref="H139:H146" si="33">G139*106.65/100</f>
        <v>#REF!</v>
      </c>
      <c r="I139" s="239"/>
      <c r="J139" s="239"/>
      <c r="K139" s="239"/>
      <c r="L139" s="239"/>
      <c r="M139" s="239"/>
      <c r="N139" s="336"/>
      <c r="O139" s="336"/>
    </row>
    <row r="140" spans="1:15" s="242" customFormat="1" hidden="1" x14ac:dyDescent="0.25">
      <c r="A140" s="243" t="s">
        <v>265</v>
      </c>
      <c r="B140" s="191" t="s">
        <v>266</v>
      </c>
      <c r="C140" s="758"/>
      <c r="D140" s="442"/>
      <c r="E140" s="442"/>
      <c r="F140" s="442"/>
      <c r="G140" s="336" t="e">
        <f>#REF!*106.65/100</f>
        <v>#REF!</v>
      </c>
      <c r="H140" s="325" t="e">
        <f t="shared" si="33"/>
        <v>#REF!</v>
      </c>
      <c r="I140" s="239"/>
      <c r="J140" s="239"/>
      <c r="K140" s="239"/>
      <c r="L140" s="239"/>
      <c r="M140" s="239"/>
      <c r="N140" s="336"/>
      <c r="O140" s="336"/>
    </row>
    <row r="141" spans="1:15" s="242" customFormat="1" hidden="1" x14ac:dyDescent="0.25">
      <c r="A141" s="243" t="s">
        <v>267</v>
      </c>
      <c r="B141" s="191" t="s">
        <v>268</v>
      </c>
      <c r="C141" s="758"/>
      <c r="D141" s="442"/>
      <c r="E141" s="442"/>
      <c r="F141" s="442"/>
      <c r="G141" s="336" t="e">
        <f>#REF!*106.65/100</f>
        <v>#REF!</v>
      </c>
      <c r="H141" s="325" t="e">
        <f t="shared" si="33"/>
        <v>#REF!</v>
      </c>
      <c r="I141" s="239"/>
      <c r="J141" s="239"/>
      <c r="K141" s="239"/>
      <c r="L141" s="239"/>
      <c r="M141" s="239"/>
      <c r="N141" s="336"/>
      <c r="O141" s="336"/>
    </row>
    <row r="142" spans="1:15" s="242" customFormat="1" hidden="1" x14ac:dyDescent="0.25">
      <c r="A142" s="243" t="s">
        <v>269</v>
      </c>
      <c r="B142" s="191" t="s">
        <v>270</v>
      </c>
      <c r="C142" s="758"/>
      <c r="D142" s="442"/>
      <c r="E142" s="442"/>
      <c r="F142" s="442"/>
      <c r="G142" s="336" t="e">
        <f>#REF!*106.65/100</f>
        <v>#REF!</v>
      </c>
      <c r="H142" s="325" t="e">
        <f t="shared" si="33"/>
        <v>#REF!</v>
      </c>
      <c r="I142" s="239"/>
      <c r="J142" s="239"/>
      <c r="K142" s="239"/>
      <c r="L142" s="239"/>
      <c r="M142" s="239"/>
      <c r="N142" s="336"/>
      <c r="O142" s="336"/>
    </row>
    <row r="143" spans="1:15" s="242" customFormat="1" hidden="1" x14ac:dyDescent="0.25">
      <c r="A143" s="243" t="s">
        <v>271</v>
      </c>
      <c r="B143" s="191" t="s">
        <v>272</v>
      </c>
      <c r="C143" s="758"/>
      <c r="D143" s="442"/>
      <c r="E143" s="442"/>
      <c r="F143" s="442"/>
      <c r="G143" s="336" t="e">
        <f>#REF!*106.65/100</f>
        <v>#REF!</v>
      </c>
      <c r="H143" s="325" t="e">
        <f t="shared" si="33"/>
        <v>#REF!</v>
      </c>
      <c r="I143" s="239"/>
      <c r="J143" s="239"/>
      <c r="K143" s="239"/>
      <c r="L143" s="239"/>
      <c r="M143" s="239"/>
      <c r="N143" s="336"/>
      <c r="O143" s="336"/>
    </row>
    <row r="144" spans="1:15" s="242" customFormat="1" hidden="1" x14ac:dyDescent="0.25">
      <c r="A144" s="632" t="s">
        <v>853</v>
      </c>
      <c r="B144" s="242" t="s">
        <v>852</v>
      </c>
      <c r="C144" s="745"/>
      <c r="D144" s="746"/>
      <c r="E144" s="746"/>
      <c r="F144" s="746"/>
      <c r="G144" s="336" t="e">
        <f>#REF!*106.65/100</f>
        <v>#REF!</v>
      </c>
      <c r="H144" s="325" t="e">
        <f t="shared" si="33"/>
        <v>#REF!</v>
      </c>
      <c r="I144" s="239"/>
      <c r="J144" s="239"/>
      <c r="K144" s="239"/>
      <c r="L144" s="239"/>
      <c r="M144" s="239"/>
      <c r="N144" s="336"/>
      <c r="O144" s="336"/>
    </row>
    <row r="145" spans="1:15" s="242" customFormat="1" hidden="1" x14ac:dyDescent="0.25">
      <c r="A145" s="632" t="s">
        <v>853</v>
      </c>
      <c r="B145" s="191" t="s">
        <v>855</v>
      </c>
      <c r="C145" s="758"/>
      <c r="D145" s="442"/>
      <c r="E145" s="442"/>
      <c r="F145" s="442"/>
      <c r="G145" s="336" t="e">
        <f>#REF!*106.65/100</f>
        <v>#REF!</v>
      </c>
      <c r="H145" s="325" t="e">
        <f t="shared" si="33"/>
        <v>#REF!</v>
      </c>
      <c r="I145" s="239"/>
      <c r="J145" s="239"/>
      <c r="K145" s="239"/>
      <c r="L145" s="239"/>
      <c r="M145" s="239"/>
      <c r="N145" s="336"/>
      <c r="O145" s="336"/>
    </row>
    <row r="146" spans="1:15" s="242" customFormat="1" hidden="1" x14ac:dyDescent="0.25">
      <c r="A146" s="768" t="s">
        <v>853</v>
      </c>
      <c r="B146" s="759" t="s">
        <v>856</v>
      </c>
      <c r="C146" s="760"/>
      <c r="D146" s="761"/>
      <c r="E146" s="761"/>
      <c r="F146" s="761"/>
      <c r="G146" s="358" t="e">
        <f>#REF!*106.65/100</f>
        <v>#REF!</v>
      </c>
      <c r="H146" s="326" t="e">
        <f t="shared" si="33"/>
        <v>#REF!</v>
      </c>
      <c r="I146" s="239"/>
      <c r="J146" s="239"/>
      <c r="K146" s="239"/>
      <c r="L146" s="239"/>
      <c r="M146" s="239"/>
      <c r="N146" s="336"/>
      <c r="O146" s="336"/>
    </row>
    <row r="147" spans="1:15" s="242" customFormat="1" ht="16.5" hidden="1" thickBot="1" x14ac:dyDescent="0.3">
      <c r="C147" s="745"/>
      <c r="D147" s="746"/>
      <c r="E147" s="746"/>
      <c r="F147" s="746"/>
      <c r="G147" s="766" t="e">
        <f>SUM(G139:G146)</f>
        <v>#REF!</v>
      </c>
      <c r="H147" s="766" t="e">
        <f>SUM(H139:H146)</f>
        <v>#REF!</v>
      </c>
      <c r="I147" s="239"/>
      <c r="J147" s="239"/>
      <c r="K147" s="239"/>
      <c r="L147" s="239"/>
      <c r="M147" s="239"/>
      <c r="N147" s="336"/>
      <c r="O147" s="336"/>
    </row>
    <row r="148" spans="1:15" s="242" customFormat="1" hidden="1" x14ac:dyDescent="0.25">
      <c r="C148" s="745"/>
      <c r="D148" s="746"/>
      <c r="E148" s="746"/>
      <c r="F148" s="746"/>
      <c r="G148" s="336"/>
      <c r="H148" s="336"/>
      <c r="I148" s="336"/>
      <c r="J148" s="336"/>
      <c r="K148" s="336"/>
      <c r="L148" s="336"/>
      <c r="M148" s="336"/>
      <c r="N148" s="336"/>
      <c r="O148" s="336"/>
    </row>
    <row r="149" spans="1:15" s="242" customFormat="1" hidden="1" x14ac:dyDescent="0.25">
      <c r="A149" s="746" t="s">
        <v>857</v>
      </c>
      <c r="C149" s="745"/>
      <c r="D149" s="746"/>
      <c r="E149" s="746"/>
      <c r="F149" s="746"/>
      <c r="G149" s="336"/>
      <c r="H149" s="336"/>
      <c r="I149" s="336"/>
      <c r="J149" s="336"/>
      <c r="K149" s="336"/>
      <c r="L149" s="336"/>
      <c r="M149" s="336"/>
      <c r="N149" s="336"/>
      <c r="O149" s="336"/>
    </row>
    <row r="150" spans="1:15" s="242" customFormat="1" hidden="1" x14ac:dyDescent="0.25">
      <c r="A150" s="767" t="s">
        <v>841</v>
      </c>
      <c r="B150" s="763"/>
      <c r="C150" s="764"/>
      <c r="D150" s="765"/>
      <c r="E150" s="765"/>
      <c r="F150" s="765"/>
      <c r="G150" s="342"/>
      <c r="H150" s="359"/>
      <c r="I150" s="239"/>
      <c r="J150" s="239"/>
      <c r="K150" s="239"/>
      <c r="L150" s="239"/>
      <c r="M150" s="239"/>
      <c r="N150" s="336"/>
      <c r="O150" s="336"/>
    </row>
    <row r="151" spans="1:15" s="242" customFormat="1" hidden="1" x14ac:dyDescent="0.25">
      <c r="A151" s="632"/>
      <c r="C151" s="745"/>
      <c r="D151" s="746"/>
      <c r="E151" s="746"/>
      <c r="F151" s="746"/>
      <c r="G151" s="336"/>
      <c r="H151" s="325"/>
      <c r="I151" s="239"/>
      <c r="J151" s="239"/>
      <c r="K151" s="239"/>
      <c r="L151" s="239"/>
      <c r="M151" s="239"/>
      <c r="N151" s="336"/>
      <c r="O151" s="336"/>
    </row>
    <row r="152" spans="1:15" s="242" customFormat="1" hidden="1" x14ac:dyDescent="0.25">
      <c r="A152" s="632"/>
      <c r="C152" s="745"/>
      <c r="D152" s="746"/>
      <c r="E152" s="746"/>
      <c r="F152" s="746"/>
      <c r="G152" s="336"/>
      <c r="H152" s="325"/>
      <c r="I152" s="239"/>
      <c r="J152" s="239"/>
      <c r="K152" s="239"/>
      <c r="L152" s="239"/>
      <c r="M152" s="239"/>
      <c r="N152" s="336"/>
      <c r="O152" s="336"/>
    </row>
    <row r="153" spans="1:15" s="242" customFormat="1" hidden="1" x14ac:dyDescent="0.25">
      <c r="A153" s="632"/>
      <c r="C153" s="745"/>
      <c r="D153" s="746"/>
      <c r="E153" s="746"/>
      <c r="F153" s="746"/>
      <c r="G153" s="336"/>
      <c r="H153" s="325"/>
      <c r="I153" s="239"/>
      <c r="J153" s="239"/>
      <c r="K153" s="239"/>
      <c r="L153" s="239"/>
      <c r="M153" s="239"/>
      <c r="N153" s="336"/>
      <c r="O153" s="336"/>
    </row>
    <row r="154" spans="1:15" s="242" customFormat="1" hidden="1" x14ac:dyDescent="0.25">
      <c r="A154" s="632"/>
      <c r="C154" s="745"/>
      <c r="D154" s="746"/>
      <c r="E154" s="746"/>
      <c r="F154" s="746"/>
      <c r="G154" s="336"/>
      <c r="H154" s="325"/>
      <c r="I154" s="239"/>
      <c r="J154" s="239"/>
      <c r="K154" s="239"/>
      <c r="L154" s="239"/>
      <c r="M154" s="239"/>
      <c r="N154" s="336"/>
      <c r="O154" s="336"/>
    </row>
    <row r="155" spans="1:15" s="242" customFormat="1" hidden="1" x14ac:dyDescent="0.25">
      <c r="A155" s="768"/>
      <c r="B155" s="759"/>
      <c r="C155" s="760"/>
      <c r="D155" s="761"/>
      <c r="E155" s="761"/>
      <c r="F155" s="761"/>
      <c r="G155" s="358"/>
      <c r="H155" s="326"/>
      <c r="I155" s="239"/>
      <c r="J155" s="239"/>
      <c r="K155" s="239"/>
      <c r="L155" s="239"/>
      <c r="M155" s="239"/>
      <c r="N155" s="336"/>
      <c r="O155" s="336"/>
    </row>
    <row r="156" spans="1:15" s="242" customFormat="1" ht="16.5" hidden="1" thickBot="1" x14ac:dyDescent="0.3">
      <c r="C156" s="745"/>
      <c r="D156" s="746"/>
      <c r="E156" s="746"/>
      <c r="F156" s="746"/>
      <c r="G156" s="766"/>
      <c r="H156" s="766"/>
      <c r="I156" s="239"/>
      <c r="J156" s="239"/>
      <c r="K156" s="239"/>
      <c r="L156" s="239"/>
      <c r="M156" s="239"/>
      <c r="N156" s="336"/>
      <c r="O156" s="336"/>
    </row>
    <row r="157" spans="1:15" s="242" customFormat="1" hidden="1" x14ac:dyDescent="0.25">
      <c r="C157" s="745"/>
      <c r="D157" s="746"/>
      <c r="E157" s="746"/>
      <c r="F157" s="746"/>
      <c r="G157" s="336"/>
      <c r="H157" s="336"/>
      <c r="I157" s="336"/>
      <c r="J157" s="336"/>
      <c r="K157" s="336"/>
      <c r="L157" s="336"/>
      <c r="M157" s="336"/>
      <c r="N157" s="336"/>
      <c r="O157" s="336"/>
    </row>
    <row r="158" spans="1:15" s="242" customFormat="1" hidden="1" x14ac:dyDescent="0.25">
      <c r="A158" s="242" t="s">
        <v>858</v>
      </c>
      <c r="C158" s="745"/>
      <c r="D158" s="746"/>
      <c r="E158" s="746"/>
      <c r="F158" s="746"/>
      <c r="G158" s="336"/>
      <c r="H158" s="336"/>
      <c r="I158" s="336"/>
      <c r="J158" s="336"/>
      <c r="K158" s="336"/>
      <c r="L158" s="336"/>
      <c r="M158" s="336"/>
      <c r="N158" s="336"/>
      <c r="O158" s="336"/>
    </row>
    <row r="159" spans="1:15" s="242" customFormat="1" hidden="1" x14ac:dyDescent="0.25">
      <c r="A159" s="242" t="s">
        <v>261</v>
      </c>
      <c r="B159" s="242" t="s">
        <v>262</v>
      </c>
      <c r="C159" s="745"/>
      <c r="D159" s="746"/>
      <c r="E159" s="746"/>
      <c r="F159" s="746"/>
      <c r="G159" s="336"/>
      <c r="H159" s="336"/>
      <c r="I159" s="336"/>
      <c r="J159" s="336"/>
      <c r="K159" s="336"/>
      <c r="L159" s="336"/>
      <c r="M159" s="336"/>
      <c r="N159" s="336"/>
      <c r="O159" s="336"/>
    </row>
    <row r="160" spans="1:15" s="242" customFormat="1" hidden="1" x14ac:dyDescent="0.25">
      <c r="A160" s="242" t="s">
        <v>263</v>
      </c>
      <c r="B160" s="242" t="s">
        <v>264</v>
      </c>
      <c r="C160" s="745"/>
      <c r="D160" s="746"/>
      <c r="E160" s="746"/>
      <c r="F160" s="746"/>
      <c r="G160" s="336"/>
      <c r="H160" s="336"/>
      <c r="I160" s="336"/>
      <c r="J160" s="336"/>
      <c r="K160" s="336"/>
      <c r="L160" s="336"/>
      <c r="M160" s="336"/>
      <c r="N160" s="336"/>
      <c r="O160" s="336"/>
    </row>
    <row r="161" spans="1:15" s="242" customFormat="1" hidden="1" x14ac:dyDescent="0.25">
      <c r="A161" s="242" t="s">
        <v>458</v>
      </c>
      <c r="B161" s="242" t="s">
        <v>457</v>
      </c>
      <c r="C161" s="745"/>
      <c r="D161" s="746"/>
      <c r="E161" s="746"/>
      <c r="F161" s="746"/>
      <c r="G161" s="336"/>
      <c r="H161" s="336"/>
      <c r="I161" s="336"/>
      <c r="J161" s="336"/>
      <c r="K161" s="336"/>
      <c r="L161" s="336"/>
      <c r="M161" s="336"/>
      <c r="N161" s="336"/>
      <c r="O161" s="336"/>
    </row>
    <row r="162" spans="1:15" s="242" customFormat="1" hidden="1" x14ac:dyDescent="0.25">
      <c r="A162" s="191" t="s">
        <v>475</v>
      </c>
      <c r="B162" s="191" t="s">
        <v>474</v>
      </c>
      <c r="C162" s="758"/>
      <c r="D162" s="442"/>
      <c r="E162" s="442"/>
      <c r="F162" s="442"/>
      <c r="G162" s="336"/>
      <c r="H162" s="336"/>
      <c r="I162" s="336"/>
      <c r="J162" s="336"/>
      <c r="K162" s="336"/>
      <c r="L162" s="336"/>
      <c r="M162" s="336"/>
      <c r="N162" s="336"/>
      <c r="O162" s="336"/>
    </row>
    <row r="163" spans="1:15" s="242" customFormat="1" hidden="1" x14ac:dyDescent="0.25">
      <c r="A163" s="191" t="s">
        <v>273</v>
      </c>
      <c r="B163" s="191" t="s">
        <v>274</v>
      </c>
      <c r="C163" s="758"/>
      <c r="D163" s="442"/>
      <c r="E163" s="442"/>
      <c r="F163" s="442"/>
      <c r="G163" s="336"/>
      <c r="H163" s="336"/>
      <c r="I163" s="336"/>
      <c r="J163" s="336"/>
      <c r="K163" s="336"/>
      <c r="L163" s="336"/>
      <c r="M163" s="336"/>
      <c r="N163" s="336"/>
      <c r="O163" s="336"/>
    </row>
    <row r="164" spans="1:15" s="242" customFormat="1" hidden="1" x14ac:dyDescent="0.25">
      <c r="A164" s="191" t="s">
        <v>477</v>
      </c>
      <c r="B164" s="191" t="s">
        <v>476</v>
      </c>
      <c r="C164" s="758"/>
      <c r="D164" s="442"/>
      <c r="E164" s="442"/>
      <c r="F164" s="442"/>
      <c r="G164" s="336"/>
      <c r="H164" s="336"/>
      <c r="I164" s="336"/>
      <c r="J164" s="336"/>
      <c r="K164" s="336"/>
      <c r="L164" s="336"/>
      <c r="M164" s="336"/>
      <c r="N164" s="336"/>
      <c r="O164" s="336"/>
    </row>
    <row r="165" spans="1:15" s="242" customFormat="1" hidden="1" x14ac:dyDescent="0.25">
      <c r="C165" s="745"/>
      <c r="D165" s="746"/>
      <c r="E165" s="746"/>
      <c r="F165" s="746"/>
      <c r="G165" s="336"/>
      <c r="H165" s="336"/>
      <c r="I165" s="336"/>
      <c r="J165" s="336"/>
      <c r="K165" s="336"/>
      <c r="L165" s="336"/>
      <c r="M165" s="336"/>
      <c r="N165" s="336"/>
      <c r="O165" s="336"/>
    </row>
    <row r="166" spans="1:15" s="242" customFormat="1" hidden="1" x14ac:dyDescent="0.25">
      <c r="C166" s="745"/>
      <c r="D166" s="746"/>
      <c r="E166" s="746"/>
      <c r="F166" s="746"/>
      <c r="G166" s="336"/>
      <c r="H166" s="336"/>
      <c r="I166" s="336"/>
      <c r="J166" s="336"/>
      <c r="K166" s="336"/>
      <c r="L166" s="336"/>
      <c r="M166" s="336"/>
      <c r="N166" s="336"/>
      <c r="O166" s="336"/>
    </row>
    <row r="167" spans="1:15" s="242" customFormat="1" hidden="1" x14ac:dyDescent="0.25">
      <c r="C167" s="745"/>
      <c r="D167" s="746"/>
      <c r="E167" s="746"/>
      <c r="F167" s="746"/>
      <c r="G167" s="336"/>
      <c r="H167" s="336"/>
      <c r="I167" s="336"/>
      <c r="J167" s="336"/>
      <c r="K167" s="336"/>
      <c r="L167" s="336"/>
      <c r="M167" s="336"/>
      <c r="N167" s="336"/>
      <c r="O167" s="336"/>
    </row>
    <row r="168" spans="1:15" s="242" customFormat="1" hidden="1" x14ac:dyDescent="0.25">
      <c r="C168" s="745"/>
      <c r="D168" s="746"/>
      <c r="E168" s="746"/>
      <c r="F168" s="746"/>
      <c r="G168" s="336"/>
      <c r="H168" s="336"/>
      <c r="I168" s="336"/>
      <c r="J168" s="336"/>
      <c r="K168" s="336"/>
      <c r="L168" s="336"/>
      <c r="M168" s="336"/>
      <c r="N168" s="336"/>
      <c r="O168" s="336"/>
    </row>
    <row r="169" spans="1:15" s="242" customFormat="1" hidden="1" x14ac:dyDescent="0.25">
      <c r="C169" s="745"/>
      <c r="D169" s="746"/>
      <c r="E169" s="746"/>
      <c r="F169" s="746"/>
      <c r="G169" s="336"/>
      <c r="H169" s="336"/>
      <c r="I169" s="336"/>
      <c r="J169" s="336"/>
      <c r="K169" s="336"/>
      <c r="L169" s="336"/>
      <c r="M169" s="336"/>
      <c r="N169" s="336"/>
      <c r="O169" s="336"/>
    </row>
    <row r="170" spans="1:15" s="242" customFormat="1" hidden="1" x14ac:dyDescent="0.25">
      <c r="C170" s="745"/>
      <c r="D170" s="746"/>
      <c r="E170" s="746"/>
      <c r="F170" s="746"/>
      <c r="G170" s="336"/>
      <c r="H170" s="336"/>
      <c r="I170" s="336"/>
      <c r="J170" s="336"/>
      <c r="K170" s="336"/>
      <c r="L170" s="336"/>
      <c r="M170" s="336"/>
      <c r="N170" s="336"/>
      <c r="O170" s="336"/>
    </row>
    <row r="171" spans="1:15" s="242" customFormat="1" hidden="1" x14ac:dyDescent="0.25">
      <c r="C171" s="745"/>
      <c r="D171" s="746"/>
      <c r="E171" s="746"/>
      <c r="F171" s="746"/>
      <c r="G171" s="336"/>
      <c r="H171" s="336"/>
      <c r="I171" s="336"/>
      <c r="J171" s="336"/>
      <c r="K171" s="336"/>
      <c r="L171" s="336"/>
      <c r="M171" s="336"/>
      <c r="N171" s="336"/>
      <c r="O171" s="336"/>
    </row>
    <row r="172" spans="1:15" s="242" customFormat="1" hidden="1" x14ac:dyDescent="0.25">
      <c r="C172" s="745"/>
      <c r="D172" s="746"/>
      <c r="E172" s="746"/>
      <c r="F172" s="746"/>
      <c r="G172" s="336"/>
      <c r="H172" s="336"/>
      <c r="I172" s="336"/>
      <c r="J172" s="336"/>
      <c r="K172" s="336"/>
      <c r="L172" s="336"/>
      <c r="M172" s="336"/>
      <c r="N172" s="336"/>
      <c r="O172" s="336"/>
    </row>
    <row r="173" spans="1:15" s="242" customFormat="1" hidden="1" x14ac:dyDescent="0.25">
      <c r="C173" s="745"/>
      <c r="D173" s="746"/>
      <c r="E173" s="746"/>
      <c r="F173" s="746"/>
      <c r="G173" s="336"/>
      <c r="H173" s="336"/>
      <c r="I173" s="336"/>
      <c r="J173" s="336"/>
      <c r="K173" s="336"/>
      <c r="L173" s="336"/>
      <c r="M173" s="336"/>
      <c r="N173" s="336"/>
      <c r="O173" s="336"/>
    </row>
    <row r="174" spans="1:15" s="242" customFormat="1" hidden="1" x14ac:dyDescent="0.25">
      <c r="C174" s="745"/>
      <c r="D174" s="746"/>
      <c r="E174" s="746"/>
      <c r="F174" s="746"/>
      <c r="G174" s="336"/>
      <c r="H174" s="336"/>
      <c r="I174" s="336"/>
      <c r="J174" s="336"/>
      <c r="K174" s="336"/>
      <c r="L174" s="336"/>
      <c r="M174" s="336"/>
      <c r="N174" s="336"/>
      <c r="O174" s="336"/>
    </row>
    <row r="175" spans="1:15" s="242" customFormat="1" hidden="1" x14ac:dyDescent="0.25">
      <c r="C175" s="745"/>
      <c r="D175" s="746"/>
      <c r="E175" s="746"/>
      <c r="F175" s="746"/>
      <c r="G175" s="336"/>
      <c r="H175" s="336"/>
      <c r="I175" s="336"/>
      <c r="J175" s="336"/>
      <c r="K175" s="336"/>
      <c r="L175" s="336"/>
      <c r="M175" s="336"/>
      <c r="N175" s="336"/>
      <c r="O175" s="336"/>
    </row>
    <row r="176" spans="1:15" s="242" customFormat="1" hidden="1" x14ac:dyDescent="0.25">
      <c r="C176" s="745"/>
      <c r="D176" s="746"/>
      <c r="E176" s="746"/>
      <c r="F176" s="746"/>
      <c r="G176" s="336"/>
      <c r="H176" s="336"/>
      <c r="I176" s="336"/>
      <c r="J176" s="336"/>
      <c r="K176" s="336"/>
      <c r="L176" s="336"/>
      <c r="M176" s="336"/>
      <c r="N176" s="336"/>
      <c r="O176" s="336"/>
    </row>
    <row r="177" spans="3:15" s="242" customFormat="1" hidden="1" x14ac:dyDescent="0.25">
      <c r="C177" s="745"/>
      <c r="D177" s="746"/>
      <c r="E177" s="746"/>
      <c r="F177" s="746"/>
      <c r="G177" s="336"/>
      <c r="H177" s="336"/>
      <c r="I177" s="336"/>
      <c r="J177" s="336"/>
      <c r="K177" s="336"/>
      <c r="L177" s="336"/>
      <c r="M177" s="336"/>
      <c r="N177" s="336"/>
      <c r="O177" s="336"/>
    </row>
    <row r="178" spans="3:15" s="242" customFormat="1" hidden="1" x14ac:dyDescent="0.25">
      <c r="C178" s="745"/>
      <c r="D178" s="746"/>
      <c r="E178" s="746"/>
      <c r="F178" s="746"/>
      <c r="G178" s="336"/>
      <c r="H178" s="336"/>
      <c r="I178" s="336"/>
      <c r="J178" s="336"/>
      <c r="K178" s="336"/>
      <c r="L178" s="336"/>
      <c r="M178" s="336"/>
      <c r="N178" s="336"/>
      <c r="O178" s="336"/>
    </row>
    <row r="179" spans="3:15" s="242" customFormat="1" hidden="1" x14ac:dyDescent="0.25">
      <c r="C179" s="745"/>
      <c r="D179" s="746"/>
      <c r="E179" s="746"/>
      <c r="F179" s="746"/>
      <c r="G179" s="336"/>
      <c r="H179" s="336"/>
      <c r="I179" s="336"/>
      <c r="J179" s="336"/>
      <c r="K179" s="336"/>
      <c r="L179" s="336"/>
      <c r="M179" s="336"/>
      <c r="N179" s="336"/>
      <c r="O179" s="336"/>
    </row>
    <row r="180" spans="3:15" s="242" customFormat="1" hidden="1" x14ac:dyDescent="0.25">
      <c r="C180" s="745"/>
      <c r="D180" s="746"/>
      <c r="E180" s="746"/>
      <c r="F180" s="746"/>
      <c r="G180" s="336"/>
      <c r="H180" s="336"/>
      <c r="I180" s="336"/>
      <c r="J180" s="336"/>
      <c r="K180" s="336"/>
      <c r="L180" s="336"/>
      <c r="M180" s="336"/>
      <c r="N180" s="336"/>
      <c r="O180" s="336"/>
    </row>
    <row r="181" spans="3:15" s="242" customFormat="1" hidden="1" x14ac:dyDescent="0.25">
      <c r="C181" s="745"/>
      <c r="D181" s="746"/>
      <c r="E181" s="746"/>
      <c r="F181" s="746"/>
      <c r="G181" s="336"/>
      <c r="H181" s="336"/>
      <c r="I181" s="336"/>
      <c r="J181" s="336"/>
      <c r="K181" s="336"/>
      <c r="L181" s="336"/>
      <c r="M181" s="336"/>
      <c r="N181" s="336"/>
      <c r="O181" s="336"/>
    </row>
    <row r="182" spans="3:15" s="242" customFormat="1" hidden="1" x14ac:dyDescent="0.25">
      <c r="C182" s="745"/>
      <c r="D182" s="746"/>
      <c r="E182" s="746"/>
      <c r="F182" s="746"/>
      <c r="G182" s="336"/>
      <c r="H182" s="336"/>
      <c r="I182" s="336"/>
      <c r="J182" s="336"/>
      <c r="K182" s="336"/>
      <c r="L182" s="336"/>
      <c r="M182" s="336"/>
      <c r="N182" s="336"/>
      <c r="O182" s="336"/>
    </row>
    <row r="183" spans="3:15" s="242" customFormat="1" hidden="1" x14ac:dyDescent="0.25">
      <c r="C183" s="745"/>
      <c r="D183" s="746"/>
      <c r="E183" s="746"/>
      <c r="F183" s="746"/>
      <c r="G183" s="336"/>
      <c r="H183" s="336"/>
      <c r="I183" s="336"/>
      <c r="J183" s="336"/>
      <c r="K183" s="336"/>
      <c r="L183" s="336"/>
      <c r="M183" s="336"/>
      <c r="N183" s="336"/>
      <c r="O183" s="336"/>
    </row>
    <row r="184" spans="3:15" s="242" customFormat="1" hidden="1" x14ac:dyDescent="0.25">
      <c r="C184" s="745"/>
      <c r="D184" s="746"/>
      <c r="E184" s="746"/>
      <c r="F184" s="746"/>
      <c r="G184" s="336"/>
      <c r="H184" s="336"/>
      <c r="I184" s="336"/>
      <c r="J184" s="336"/>
      <c r="K184" s="336"/>
      <c r="L184" s="336"/>
      <c r="M184" s="336"/>
      <c r="N184" s="336"/>
      <c r="O184" s="336"/>
    </row>
    <row r="185" spans="3:15" s="242" customFormat="1" hidden="1" x14ac:dyDescent="0.25">
      <c r="C185" s="745"/>
      <c r="D185" s="746"/>
      <c r="E185" s="746"/>
      <c r="F185" s="746"/>
      <c r="G185" s="336"/>
      <c r="H185" s="336"/>
      <c r="I185" s="336"/>
      <c r="J185" s="336"/>
      <c r="K185" s="336"/>
      <c r="L185" s="336"/>
      <c r="M185" s="336"/>
      <c r="N185" s="336"/>
      <c r="O185" s="336"/>
    </row>
    <row r="186" spans="3:15" s="242" customFormat="1" hidden="1" x14ac:dyDescent="0.25">
      <c r="C186" s="745"/>
      <c r="D186" s="746"/>
      <c r="E186" s="746"/>
      <c r="F186" s="746"/>
      <c r="G186" s="336"/>
      <c r="H186" s="336"/>
      <c r="I186" s="336"/>
      <c r="J186" s="336"/>
      <c r="K186" s="336"/>
      <c r="L186" s="336"/>
      <c r="M186" s="336"/>
      <c r="N186" s="336"/>
      <c r="O186" s="336"/>
    </row>
    <row r="187" spans="3:15" s="242" customFormat="1" hidden="1" x14ac:dyDescent="0.25">
      <c r="C187" s="745"/>
      <c r="D187" s="746"/>
      <c r="E187" s="746"/>
      <c r="F187" s="746"/>
      <c r="G187" s="336"/>
      <c r="H187" s="336"/>
      <c r="I187" s="336"/>
      <c r="J187" s="336"/>
      <c r="K187" s="336"/>
      <c r="L187" s="336"/>
      <c r="M187" s="336"/>
      <c r="N187" s="336"/>
      <c r="O187" s="336"/>
    </row>
    <row r="188" spans="3:15" s="242" customFormat="1" hidden="1" x14ac:dyDescent="0.25">
      <c r="C188" s="745"/>
      <c r="D188" s="746"/>
      <c r="E188" s="746"/>
      <c r="F188" s="746"/>
      <c r="G188" s="336"/>
      <c r="H188" s="336"/>
      <c r="I188" s="336"/>
      <c r="J188" s="336"/>
      <c r="K188" s="336"/>
      <c r="L188" s="336"/>
      <c r="M188" s="336"/>
      <c r="N188" s="336"/>
      <c r="O188" s="336"/>
    </row>
    <row r="189" spans="3:15" s="242" customFormat="1" hidden="1" x14ac:dyDescent="0.25">
      <c r="C189" s="745"/>
      <c r="D189" s="746"/>
      <c r="E189" s="746"/>
      <c r="F189" s="746"/>
      <c r="G189" s="336"/>
      <c r="H189" s="336"/>
      <c r="I189" s="336"/>
      <c r="J189" s="336"/>
      <c r="K189" s="336"/>
      <c r="L189" s="336"/>
      <c r="M189" s="336"/>
      <c r="N189" s="336"/>
      <c r="O189" s="336"/>
    </row>
    <row r="190" spans="3:15" s="242" customFormat="1" hidden="1" x14ac:dyDescent="0.25">
      <c r="C190" s="745"/>
      <c r="D190" s="746"/>
      <c r="E190" s="746"/>
      <c r="F190" s="746"/>
      <c r="G190" s="336"/>
      <c r="H190" s="336"/>
      <c r="I190" s="336"/>
      <c r="J190" s="336"/>
      <c r="K190" s="336"/>
      <c r="L190" s="336"/>
      <c r="M190" s="336"/>
      <c r="N190" s="336"/>
      <c r="O190" s="336"/>
    </row>
    <row r="191" spans="3:15" s="242" customFormat="1" hidden="1" x14ac:dyDescent="0.25">
      <c r="C191" s="745"/>
      <c r="D191" s="746"/>
      <c r="E191" s="746"/>
      <c r="F191" s="746"/>
      <c r="G191" s="336"/>
      <c r="H191" s="336"/>
      <c r="I191" s="336"/>
      <c r="J191" s="336"/>
      <c r="K191" s="336"/>
      <c r="L191" s="336"/>
      <c r="M191" s="336"/>
      <c r="N191" s="336"/>
      <c r="O191" s="336"/>
    </row>
    <row r="192" spans="3:15" s="242" customFormat="1" hidden="1" x14ac:dyDescent="0.25">
      <c r="C192" s="745"/>
      <c r="D192" s="746"/>
      <c r="E192" s="746"/>
      <c r="F192" s="746"/>
      <c r="G192" s="336"/>
      <c r="H192" s="336"/>
      <c r="I192" s="336"/>
      <c r="J192" s="336"/>
      <c r="K192" s="336"/>
      <c r="L192" s="336"/>
      <c r="M192" s="336"/>
      <c r="N192" s="336"/>
      <c r="O192" s="336"/>
    </row>
    <row r="193" spans="3:15" s="242" customFormat="1" hidden="1" x14ac:dyDescent="0.25">
      <c r="C193" s="745"/>
      <c r="D193" s="746"/>
      <c r="E193" s="746"/>
      <c r="F193" s="746"/>
      <c r="G193" s="336"/>
      <c r="H193" s="336"/>
      <c r="I193" s="336"/>
      <c r="J193" s="336"/>
      <c r="K193" s="336"/>
      <c r="L193" s="336"/>
      <c r="M193" s="336"/>
      <c r="N193" s="336"/>
      <c r="O193" s="336"/>
    </row>
    <row r="194" spans="3:15" s="242" customFormat="1" hidden="1" x14ac:dyDescent="0.25">
      <c r="C194" s="745"/>
      <c r="D194" s="746"/>
      <c r="E194" s="746"/>
      <c r="F194" s="746"/>
      <c r="G194" s="336"/>
      <c r="H194" s="336"/>
      <c r="I194" s="336"/>
      <c r="J194" s="336"/>
      <c r="K194" s="336"/>
      <c r="L194" s="336"/>
      <c r="M194" s="336"/>
      <c r="N194" s="336"/>
      <c r="O194" s="336"/>
    </row>
    <row r="195" spans="3:15" s="242" customFormat="1" hidden="1" x14ac:dyDescent="0.25">
      <c r="C195" s="745"/>
      <c r="D195" s="746"/>
      <c r="E195" s="746"/>
      <c r="F195" s="746"/>
      <c r="G195" s="336"/>
      <c r="H195" s="336"/>
      <c r="I195" s="336"/>
      <c r="J195" s="336"/>
      <c r="K195" s="336"/>
      <c r="L195" s="336"/>
      <c r="M195" s="336"/>
      <c r="N195" s="336"/>
      <c r="O195" s="336"/>
    </row>
    <row r="196" spans="3:15" s="242" customFormat="1" hidden="1" x14ac:dyDescent="0.25">
      <c r="C196" s="745"/>
      <c r="D196" s="746"/>
      <c r="E196" s="746"/>
      <c r="F196" s="746"/>
      <c r="G196" s="336"/>
      <c r="H196" s="336"/>
      <c r="I196" s="336"/>
      <c r="J196" s="336"/>
      <c r="K196" s="336"/>
      <c r="L196" s="336"/>
      <c r="M196" s="336"/>
      <c r="N196" s="336"/>
      <c r="O196" s="336"/>
    </row>
    <row r="197" spans="3:15" s="242" customFormat="1" hidden="1" x14ac:dyDescent="0.25">
      <c r="C197" s="745"/>
      <c r="D197" s="746"/>
      <c r="E197" s="746"/>
      <c r="F197" s="746"/>
      <c r="G197" s="336"/>
      <c r="H197" s="336"/>
      <c r="I197" s="336"/>
      <c r="J197" s="336"/>
      <c r="K197" s="336"/>
      <c r="L197" s="336"/>
      <c r="M197" s="336"/>
      <c r="N197" s="336"/>
      <c r="O197" s="336"/>
    </row>
    <row r="198" spans="3:15" s="242" customFormat="1" hidden="1" x14ac:dyDescent="0.25">
      <c r="C198" s="745"/>
      <c r="D198" s="746"/>
      <c r="E198" s="746"/>
      <c r="F198" s="746"/>
      <c r="G198" s="336"/>
      <c r="H198" s="336"/>
      <c r="I198" s="336"/>
      <c r="J198" s="336"/>
      <c r="K198" s="336"/>
      <c r="L198" s="336"/>
      <c r="M198" s="336"/>
      <c r="N198" s="336"/>
      <c r="O198" s="336"/>
    </row>
    <row r="199" spans="3:15" s="242" customFormat="1" hidden="1" x14ac:dyDescent="0.25">
      <c r="C199" s="745"/>
      <c r="D199" s="746"/>
      <c r="E199" s="746"/>
      <c r="F199" s="746"/>
      <c r="G199" s="336"/>
      <c r="H199" s="336"/>
      <c r="I199" s="336"/>
      <c r="J199" s="336"/>
      <c r="K199" s="336"/>
      <c r="L199" s="336"/>
      <c r="M199" s="336"/>
      <c r="N199" s="336"/>
      <c r="O199" s="336"/>
    </row>
    <row r="200" spans="3:15" s="242" customFormat="1" hidden="1" x14ac:dyDescent="0.25">
      <c r="C200" s="745"/>
      <c r="D200" s="746"/>
      <c r="E200" s="746"/>
      <c r="F200" s="746"/>
      <c r="G200" s="336"/>
      <c r="H200" s="336"/>
      <c r="I200" s="336"/>
      <c r="J200" s="336"/>
      <c r="K200" s="336"/>
      <c r="L200" s="336"/>
      <c r="M200" s="336"/>
      <c r="N200" s="336"/>
      <c r="O200" s="336"/>
    </row>
    <row r="201" spans="3:15" s="242" customFormat="1" hidden="1" x14ac:dyDescent="0.25">
      <c r="C201" s="745"/>
      <c r="D201" s="746"/>
      <c r="E201" s="746"/>
      <c r="F201" s="746"/>
      <c r="G201" s="336"/>
      <c r="H201" s="336"/>
      <c r="I201" s="336"/>
      <c r="J201" s="336"/>
      <c r="K201" s="336"/>
      <c r="L201" s="336"/>
      <c r="M201" s="336"/>
      <c r="N201" s="336"/>
      <c r="O201" s="336"/>
    </row>
    <row r="202" spans="3:15" s="242" customFormat="1" hidden="1" x14ac:dyDescent="0.25">
      <c r="C202" s="745"/>
      <c r="D202" s="746"/>
      <c r="E202" s="746"/>
      <c r="F202" s="746"/>
      <c r="G202" s="336"/>
      <c r="H202" s="336"/>
      <c r="I202" s="336"/>
      <c r="J202" s="336"/>
      <c r="K202" s="336"/>
      <c r="L202" s="336"/>
      <c r="M202" s="336"/>
      <c r="N202" s="336"/>
      <c r="O202" s="336"/>
    </row>
    <row r="203" spans="3:15" s="242" customFormat="1" hidden="1" x14ac:dyDescent="0.25">
      <c r="C203" s="745"/>
      <c r="D203" s="746"/>
      <c r="E203" s="746"/>
      <c r="F203" s="746"/>
      <c r="G203" s="336"/>
      <c r="H203" s="336"/>
      <c r="I203" s="336"/>
      <c r="J203" s="336"/>
      <c r="K203" s="336"/>
      <c r="L203" s="336"/>
      <c r="M203" s="336"/>
      <c r="N203" s="336"/>
      <c r="O203" s="336"/>
    </row>
    <row r="204" spans="3:15" s="242" customFormat="1" hidden="1" x14ac:dyDescent="0.25">
      <c r="C204" s="745"/>
      <c r="D204" s="746"/>
      <c r="E204" s="746"/>
      <c r="F204" s="746"/>
      <c r="G204" s="336"/>
      <c r="H204" s="336"/>
      <c r="I204" s="336"/>
      <c r="J204" s="336"/>
      <c r="K204" s="336"/>
      <c r="L204" s="336"/>
      <c r="M204" s="336"/>
      <c r="N204" s="336"/>
      <c r="O204" s="336"/>
    </row>
    <row r="205" spans="3:15" s="242" customFormat="1" hidden="1" x14ac:dyDescent="0.25">
      <c r="C205" s="745"/>
      <c r="D205" s="746"/>
      <c r="E205" s="746"/>
      <c r="F205" s="746"/>
      <c r="G205" s="336"/>
      <c r="H205" s="336"/>
      <c r="I205" s="336"/>
      <c r="J205" s="336"/>
      <c r="K205" s="336"/>
      <c r="L205" s="336"/>
      <c r="M205" s="336"/>
      <c r="N205" s="336"/>
      <c r="O205" s="336"/>
    </row>
    <row r="206" spans="3:15" s="242" customFormat="1" hidden="1" x14ac:dyDescent="0.25">
      <c r="C206" s="745"/>
      <c r="D206" s="746"/>
      <c r="E206" s="746"/>
      <c r="F206" s="746"/>
      <c r="G206" s="336"/>
      <c r="H206" s="336"/>
      <c r="I206" s="336"/>
      <c r="J206" s="336"/>
      <c r="K206" s="336"/>
      <c r="L206" s="336"/>
      <c r="M206" s="336"/>
      <c r="N206" s="336"/>
      <c r="O206" s="336"/>
    </row>
    <row r="207" spans="3:15" s="242" customFormat="1" hidden="1" x14ac:dyDescent="0.25">
      <c r="C207" s="745"/>
      <c r="D207" s="746"/>
      <c r="E207" s="746"/>
      <c r="F207" s="746"/>
      <c r="G207" s="336"/>
      <c r="H207" s="336"/>
      <c r="I207" s="336"/>
      <c r="J207" s="336"/>
      <c r="K207" s="336"/>
      <c r="L207" s="336"/>
      <c r="M207" s="336"/>
      <c r="N207" s="336"/>
      <c r="O207" s="336"/>
    </row>
    <row r="208" spans="3:15" s="242" customFormat="1" hidden="1" x14ac:dyDescent="0.25">
      <c r="C208" s="745"/>
      <c r="D208" s="746"/>
      <c r="E208" s="746"/>
      <c r="F208" s="746"/>
      <c r="G208" s="336"/>
      <c r="H208" s="336"/>
      <c r="I208" s="336"/>
      <c r="J208" s="336"/>
      <c r="K208" s="336"/>
      <c r="L208" s="336"/>
      <c r="M208" s="336"/>
      <c r="N208" s="336"/>
      <c r="O208" s="336"/>
    </row>
    <row r="209" spans="3:15" s="242" customFormat="1" hidden="1" x14ac:dyDescent="0.25">
      <c r="C209" s="745"/>
      <c r="D209" s="746"/>
      <c r="E209" s="746"/>
      <c r="F209" s="746"/>
      <c r="G209" s="336"/>
      <c r="H209" s="336"/>
      <c r="I209" s="336"/>
      <c r="J209" s="336"/>
      <c r="K209" s="336"/>
      <c r="L209" s="336"/>
      <c r="M209" s="336"/>
      <c r="N209" s="336"/>
      <c r="O209" s="336"/>
    </row>
    <row r="210" spans="3:15" s="242" customFormat="1" hidden="1" x14ac:dyDescent="0.25">
      <c r="C210" s="745"/>
      <c r="D210" s="746"/>
      <c r="E210" s="746"/>
      <c r="F210" s="746"/>
      <c r="G210" s="336"/>
      <c r="H210" s="336"/>
      <c r="I210" s="336"/>
      <c r="J210" s="336"/>
      <c r="K210" s="336"/>
      <c r="L210" s="336"/>
      <c r="M210" s="336"/>
      <c r="N210" s="336"/>
      <c r="O210" s="336"/>
    </row>
    <row r="211" spans="3:15" s="242" customFormat="1" hidden="1" x14ac:dyDescent="0.25">
      <c r="C211" s="745"/>
      <c r="D211" s="746"/>
      <c r="E211" s="746"/>
      <c r="F211" s="746"/>
      <c r="G211" s="336"/>
      <c r="H211" s="336"/>
      <c r="I211" s="336"/>
      <c r="J211" s="336"/>
      <c r="K211" s="336"/>
      <c r="L211" s="336"/>
      <c r="M211" s="336"/>
      <c r="N211" s="336"/>
      <c r="O211" s="336"/>
    </row>
    <row r="212" spans="3:15" s="242" customFormat="1" hidden="1" x14ac:dyDescent="0.25">
      <c r="C212" s="745"/>
      <c r="D212" s="746"/>
      <c r="E212" s="746"/>
      <c r="F212" s="746"/>
      <c r="G212" s="336"/>
      <c r="H212" s="336"/>
      <c r="I212" s="336"/>
      <c r="J212" s="336"/>
      <c r="K212" s="336"/>
      <c r="L212" s="336"/>
      <c r="M212" s="336"/>
      <c r="N212" s="336"/>
      <c r="O212" s="336"/>
    </row>
    <row r="213" spans="3:15" s="242" customFormat="1" hidden="1" x14ac:dyDescent="0.25">
      <c r="C213" s="745"/>
      <c r="D213" s="746"/>
      <c r="E213" s="746"/>
      <c r="F213" s="746"/>
      <c r="G213" s="336"/>
      <c r="H213" s="336"/>
      <c r="I213" s="336"/>
      <c r="J213" s="336"/>
      <c r="K213" s="336"/>
      <c r="L213" s="336"/>
      <c r="M213" s="336"/>
      <c r="N213" s="336"/>
      <c r="O213" s="336"/>
    </row>
    <row r="214" spans="3:15" s="242" customFormat="1" hidden="1" x14ac:dyDescent="0.25">
      <c r="C214" s="745"/>
      <c r="D214" s="746"/>
      <c r="E214" s="746"/>
      <c r="F214" s="746"/>
      <c r="G214" s="336"/>
      <c r="H214" s="336"/>
      <c r="I214" s="336"/>
      <c r="J214" s="336"/>
      <c r="K214" s="336"/>
      <c r="L214" s="336"/>
      <c r="M214" s="336"/>
      <c r="N214" s="336"/>
      <c r="O214" s="336"/>
    </row>
    <row r="215" spans="3:15" s="242" customFormat="1" hidden="1" x14ac:dyDescent="0.25">
      <c r="C215" s="745"/>
      <c r="D215" s="746"/>
      <c r="E215" s="746"/>
      <c r="F215" s="746"/>
      <c r="G215" s="336"/>
      <c r="H215" s="336"/>
      <c r="I215" s="336"/>
      <c r="J215" s="336"/>
      <c r="K215" s="336"/>
      <c r="L215" s="336"/>
      <c r="M215" s="336"/>
      <c r="N215" s="336"/>
      <c r="O215" s="336"/>
    </row>
    <row r="216" spans="3:15" s="242" customFormat="1" hidden="1" x14ac:dyDescent="0.25">
      <c r="C216" s="745"/>
      <c r="D216" s="746"/>
      <c r="E216" s="746"/>
      <c r="F216" s="746"/>
      <c r="G216" s="336"/>
      <c r="H216" s="336"/>
      <c r="I216" s="336"/>
      <c r="J216" s="336"/>
      <c r="K216" s="336"/>
      <c r="L216" s="336"/>
      <c r="M216" s="336"/>
      <c r="N216" s="336"/>
      <c r="O216" s="336"/>
    </row>
    <row r="217" spans="3:15" s="242" customFormat="1" hidden="1" x14ac:dyDescent="0.25">
      <c r="C217" s="745"/>
      <c r="D217" s="746"/>
      <c r="E217" s="746"/>
      <c r="F217" s="746"/>
      <c r="G217" s="336"/>
      <c r="H217" s="336"/>
      <c r="I217" s="336"/>
      <c r="J217" s="336"/>
      <c r="K217" s="336"/>
      <c r="L217" s="336"/>
      <c r="M217" s="336"/>
      <c r="N217" s="336"/>
      <c r="O217" s="336"/>
    </row>
    <row r="218" spans="3:15" s="242" customFormat="1" hidden="1" x14ac:dyDescent="0.25">
      <c r="C218" s="745"/>
      <c r="D218" s="746"/>
      <c r="E218" s="746"/>
      <c r="F218" s="746"/>
      <c r="G218" s="336"/>
      <c r="H218" s="336"/>
      <c r="I218" s="336"/>
      <c r="J218" s="336"/>
      <c r="K218" s="336"/>
      <c r="L218" s="336"/>
      <c r="M218" s="336"/>
      <c r="N218" s="336"/>
      <c r="O218" s="336"/>
    </row>
    <row r="219" spans="3:15" s="242" customFormat="1" x14ac:dyDescent="0.25">
      <c r="C219" s="745"/>
      <c r="D219" s="746"/>
      <c r="E219" s="746"/>
      <c r="F219" s="746"/>
      <c r="G219" s="336"/>
      <c r="H219" s="336"/>
      <c r="I219" s="336"/>
      <c r="J219" s="336"/>
      <c r="K219" s="336"/>
      <c r="L219" s="336"/>
      <c r="M219" s="336"/>
      <c r="N219" s="336"/>
      <c r="O219" s="336"/>
    </row>
    <row r="220" spans="3:15" s="242" customFormat="1" x14ac:dyDescent="0.25">
      <c r="C220" s="745"/>
      <c r="D220" s="746"/>
      <c r="E220" s="746"/>
      <c r="F220" s="746"/>
      <c r="G220" s="336"/>
      <c r="H220" s="336"/>
      <c r="I220" s="336"/>
      <c r="J220" s="336"/>
      <c r="K220" s="336"/>
      <c r="L220" s="336"/>
      <c r="M220" s="336"/>
      <c r="N220" s="336"/>
      <c r="O220" s="336"/>
    </row>
    <row r="221" spans="3:15" s="242" customFormat="1" x14ac:dyDescent="0.25">
      <c r="C221" s="745"/>
      <c r="D221" s="746"/>
      <c r="E221" s="746"/>
      <c r="F221" s="746"/>
      <c r="G221" s="336"/>
      <c r="H221" s="336"/>
      <c r="I221" s="336"/>
      <c r="J221" s="336"/>
      <c r="K221" s="336"/>
      <c r="L221" s="336"/>
      <c r="M221" s="336"/>
      <c r="N221" s="336"/>
      <c r="O221" s="336"/>
    </row>
    <row r="222" spans="3:15" s="242" customFormat="1" x14ac:dyDescent="0.25">
      <c r="C222" s="745"/>
      <c r="D222" s="746"/>
      <c r="E222" s="746"/>
      <c r="F222" s="746"/>
      <c r="G222" s="336"/>
      <c r="H222" s="336"/>
      <c r="I222" s="336"/>
      <c r="J222" s="336"/>
      <c r="K222" s="336"/>
      <c r="L222" s="336"/>
      <c r="M222" s="336"/>
      <c r="N222" s="336"/>
      <c r="O222" s="336"/>
    </row>
    <row r="223" spans="3:15" s="242" customFormat="1" x14ac:dyDescent="0.25">
      <c r="C223" s="745"/>
      <c r="D223" s="746"/>
      <c r="E223" s="746"/>
      <c r="F223" s="746"/>
      <c r="G223" s="336"/>
      <c r="H223" s="336"/>
      <c r="I223" s="336"/>
      <c r="J223" s="336"/>
      <c r="K223" s="336"/>
      <c r="L223" s="336"/>
      <c r="M223" s="336"/>
      <c r="N223" s="336"/>
      <c r="O223" s="336"/>
    </row>
    <row r="224" spans="3:15" s="242" customFormat="1" x14ac:dyDescent="0.25">
      <c r="C224" s="745"/>
      <c r="D224" s="746"/>
      <c r="E224" s="746"/>
      <c r="F224" s="746"/>
      <c r="G224" s="336"/>
      <c r="H224" s="336"/>
      <c r="I224" s="336"/>
      <c r="J224" s="336"/>
      <c r="K224" s="336"/>
      <c r="L224" s="336"/>
      <c r="M224" s="336"/>
      <c r="N224" s="336"/>
      <c r="O224" s="336"/>
    </row>
    <row r="225" spans="3:15" s="242" customFormat="1" x14ac:dyDescent="0.25">
      <c r="C225" s="745"/>
      <c r="D225" s="746"/>
      <c r="E225" s="746"/>
      <c r="F225" s="746"/>
      <c r="G225" s="336"/>
      <c r="H225" s="336"/>
      <c r="I225" s="336"/>
      <c r="J225" s="336"/>
      <c r="K225" s="336"/>
      <c r="L225" s="336"/>
      <c r="M225" s="336"/>
      <c r="N225" s="336"/>
      <c r="O225" s="336"/>
    </row>
    <row r="226" spans="3:15" s="242" customFormat="1" x14ac:dyDescent="0.25">
      <c r="C226" s="745"/>
      <c r="D226" s="746"/>
      <c r="E226" s="746"/>
      <c r="F226" s="746"/>
      <c r="G226" s="336"/>
      <c r="H226" s="336"/>
      <c r="I226" s="336"/>
      <c r="J226" s="336"/>
      <c r="K226" s="336"/>
      <c r="L226" s="336"/>
      <c r="M226" s="336"/>
      <c r="N226" s="336"/>
      <c r="O226" s="336"/>
    </row>
    <row r="227" spans="3:15" s="242" customFormat="1" x14ac:dyDescent="0.25">
      <c r="C227" s="745"/>
      <c r="D227" s="746"/>
      <c r="E227" s="746"/>
      <c r="F227" s="746"/>
      <c r="G227" s="336"/>
      <c r="H227" s="336"/>
      <c r="I227" s="336"/>
      <c r="J227" s="336"/>
      <c r="K227" s="336"/>
      <c r="L227" s="336"/>
      <c r="M227" s="336"/>
      <c r="N227" s="336"/>
      <c r="O227" s="336"/>
    </row>
    <row r="228" spans="3:15" s="242" customFormat="1" x14ac:dyDescent="0.25">
      <c r="C228" s="745"/>
      <c r="D228" s="746"/>
      <c r="E228" s="746"/>
      <c r="F228" s="746"/>
      <c r="G228" s="336"/>
      <c r="H228" s="336"/>
      <c r="I228" s="336"/>
      <c r="J228" s="336"/>
      <c r="K228" s="336"/>
      <c r="L228" s="336"/>
      <c r="M228" s="336"/>
      <c r="N228" s="336"/>
      <c r="O228" s="336"/>
    </row>
  </sheetData>
  <sortState xmlns:xlrd2="http://schemas.microsoft.com/office/spreadsheetml/2017/richdata2" ref="B42:O107">
    <sortCondition ref="B42:B107"/>
  </sortState>
  <mergeCells count="1">
    <mergeCell ref="B1:O4"/>
  </mergeCells>
  <phoneticPr fontId="48" type="noConversion"/>
  <pageMargins left="0.7" right="0.7" top="0.75" bottom="0.75" header="0.3" footer="0.3"/>
  <pageSetup paperSize="9" scale="36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D22B-2E08-4117-AFBB-C339086305A1}">
  <sheetPr>
    <tabColor rgb="FF7030A0"/>
    <pageSetUpPr fitToPage="1"/>
  </sheetPr>
  <dimension ref="A1:FN96"/>
  <sheetViews>
    <sheetView topLeftCell="B1" zoomScale="80" zoomScaleNormal="80" zoomScaleSheetLayoutView="70" workbookViewId="0">
      <pane xSplit="5" ySplit="3" topLeftCell="G85" activePane="bottomRight" state="frozen"/>
      <selection activeCell="B1" sqref="B1"/>
      <selection pane="topRight" activeCell="G1" sqref="G1"/>
      <selection pane="bottomLeft" activeCell="B4" sqref="B4"/>
      <selection pane="bottomRight" activeCell="J99" sqref="J99"/>
    </sheetView>
  </sheetViews>
  <sheetFormatPr defaultColWidth="9.140625" defaultRowHeight="15.75" x14ac:dyDescent="0.25"/>
  <cols>
    <col min="1" max="1" width="52.28515625" style="240" hidden="1" customWidth="1"/>
    <col min="2" max="2" width="48.5703125" style="240" customWidth="1"/>
    <col min="3" max="3" width="24.42578125" style="393" hidden="1" customWidth="1"/>
    <col min="4" max="4" width="13.42578125" style="393" hidden="1" customWidth="1"/>
    <col min="5" max="5" width="45.5703125" style="785" hidden="1" customWidth="1"/>
    <col min="6" max="6" width="17.5703125" style="393" hidden="1" customWidth="1"/>
    <col min="7" max="7" width="17.5703125" style="241" customWidth="1"/>
    <col min="8" max="9" width="17.5703125" style="241" hidden="1" customWidth="1"/>
    <col min="10" max="12" width="17.5703125" style="241" customWidth="1"/>
    <col min="13" max="13" width="17.85546875" style="241" customWidth="1"/>
    <col min="14" max="14" width="18" style="241" customWidth="1"/>
    <col min="15" max="15" width="11.5703125" style="241" customWidth="1"/>
    <col min="16" max="16" width="17.42578125" style="241" customWidth="1"/>
    <col min="17" max="17" width="12.5703125" style="241" customWidth="1"/>
    <col min="18" max="18" width="15.28515625" style="241" customWidth="1"/>
    <col min="19" max="19" width="13.28515625" style="241" customWidth="1"/>
    <col min="20" max="21" width="9.140625" style="336"/>
    <col min="22" max="170" width="9.140625" style="242"/>
    <col min="171" max="16384" width="9.140625" style="240"/>
  </cols>
  <sheetData>
    <row r="1" spans="1:15" x14ac:dyDescent="0.25">
      <c r="B1" s="927" t="s">
        <v>1003</v>
      </c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927"/>
      <c r="N1" s="927"/>
    </row>
    <row r="2" spans="1:15" ht="38.25" customHeight="1" thickBot="1" x14ac:dyDescent="0.3">
      <c r="A2" s="507" t="s">
        <v>491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929"/>
      <c r="N2" s="929"/>
    </row>
    <row r="3" spans="1:15" ht="32.25" thickBot="1" x14ac:dyDescent="0.3">
      <c r="A3" s="130" t="s">
        <v>2</v>
      </c>
      <c r="B3" s="454"/>
      <c r="C3" s="769" t="s">
        <v>1030</v>
      </c>
      <c r="D3" s="769" t="s">
        <v>1031</v>
      </c>
      <c r="E3" s="770" t="s">
        <v>306</v>
      </c>
      <c r="F3" s="769" t="s">
        <v>1032</v>
      </c>
      <c r="G3" s="771" t="s">
        <v>1028</v>
      </c>
      <c r="H3" s="214" t="s">
        <v>983</v>
      </c>
      <c r="I3" s="214" t="s">
        <v>1027</v>
      </c>
      <c r="J3" s="557" t="s">
        <v>631</v>
      </c>
      <c r="K3" s="214" t="s">
        <v>1274</v>
      </c>
      <c r="L3" s="304" t="s">
        <v>932</v>
      </c>
      <c r="M3" s="304" t="s">
        <v>996</v>
      </c>
      <c r="N3" s="215" t="s">
        <v>1296</v>
      </c>
      <c r="O3" s="685"/>
    </row>
    <row r="4" spans="1:15" x14ac:dyDescent="0.25">
      <c r="A4" s="305"/>
      <c r="B4" s="772"/>
      <c r="C4" s="700"/>
      <c r="D4" s="700"/>
      <c r="E4" s="773"/>
      <c r="F4" s="700"/>
      <c r="G4" s="311"/>
      <c r="H4" s="311"/>
      <c r="I4" s="311"/>
      <c r="J4" s="311"/>
      <c r="K4" s="311"/>
      <c r="L4" s="325"/>
      <c r="M4" s="238"/>
      <c r="N4" s="344"/>
    </row>
    <row r="5" spans="1:15" x14ac:dyDescent="0.25">
      <c r="A5" s="315" t="s">
        <v>220</v>
      </c>
      <c r="B5" s="774" t="s">
        <v>11</v>
      </c>
      <c r="C5" s="700"/>
      <c r="D5" s="700"/>
      <c r="E5" s="773"/>
      <c r="F5" s="700"/>
      <c r="G5" s="311">
        <f>5840206+2006484+947863</f>
        <v>8794553</v>
      </c>
      <c r="H5" s="311">
        <v>4580821.1500000004</v>
      </c>
      <c r="I5" s="311">
        <f>SUM(G5-H5)</f>
        <v>4213731.8499999996</v>
      </c>
      <c r="J5" s="311">
        <v>865180.22092000023</v>
      </c>
      <c r="K5" s="311">
        <f>SUM(G5+J5)</f>
        <v>9659733.2209200002</v>
      </c>
      <c r="L5" s="325">
        <v>10333650</v>
      </c>
      <c r="M5" s="238">
        <v>10091178</v>
      </c>
      <c r="N5" s="238">
        <v>15568463</v>
      </c>
    </row>
    <row r="6" spans="1:15" x14ac:dyDescent="0.25">
      <c r="A6" s="315" t="s">
        <v>343</v>
      </c>
      <c r="B6" s="774" t="s">
        <v>314</v>
      </c>
      <c r="C6" s="700"/>
      <c r="D6" s="700"/>
      <c r="E6" s="773"/>
      <c r="F6" s="700"/>
      <c r="G6" s="311">
        <v>171480</v>
      </c>
      <c r="H6" s="311"/>
      <c r="I6" s="311">
        <f t="shared" ref="I6:I19" si="0">SUM(G6-H6)</f>
        <v>171480</v>
      </c>
      <c r="J6" s="311">
        <v>0</v>
      </c>
      <c r="K6" s="311">
        <f t="shared" ref="K6:K19" si="1">SUM(G6+J6)</f>
        <v>171480</v>
      </c>
      <c r="L6" s="325">
        <v>162045</v>
      </c>
      <c r="M6" s="238">
        <v>167884</v>
      </c>
      <c r="N6" s="238">
        <v>174118</v>
      </c>
    </row>
    <row r="7" spans="1:15" x14ac:dyDescent="0.25">
      <c r="A7" s="315" t="s">
        <v>528</v>
      </c>
      <c r="B7" s="775" t="s">
        <v>448</v>
      </c>
      <c r="C7" s="702"/>
      <c r="D7" s="702"/>
      <c r="E7" s="776"/>
      <c r="F7" s="702"/>
      <c r="G7" s="311">
        <v>6000</v>
      </c>
      <c r="H7" s="311">
        <v>3100.8</v>
      </c>
      <c r="I7" s="311">
        <f t="shared" si="0"/>
        <v>2899.2</v>
      </c>
      <c r="J7" s="311">
        <v>0</v>
      </c>
      <c r="K7" s="311">
        <f t="shared" si="1"/>
        <v>6000</v>
      </c>
      <c r="L7" s="325">
        <v>6000</v>
      </c>
      <c r="M7" s="238">
        <f>L7*1.044</f>
        <v>6264</v>
      </c>
      <c r="N7" s="238">
        <f>M7*1.045</f>
        <v>6545.8799999999992</v>
      </c>
    </row>
    <row r="8" spans="1:15" x14ac:dyDescent="0.25">
      <c r="A8" s="315" t="s">
        <v>229</v>
      </c>
      <c r="B8" s="774" t="s">
        <v>25</v>
      </c>
      <c r="C8" s="700"/>
      <c r="D8" s="700"/>
      <c r="E8" s="773"/>
      <c r="F8" s="700"/>
      <c r="G8" s="311">
        <f>34800+14400</f>
        <v>49200</v>
      </c>
      <c r="H8" s="311">
        <v>42000</v>
      </c>
      <c r="I8" s="311">
        <f t="shared" si="0"/>
        <v>7200</v>
      </c>
      <c r="J8" s="311">
        <v>25200</v>
      </c>
      <c r="K8" s="311">
        <f t="shared" si="1"/>
        <v>74400</v>
      </c>
      <c r="L8" s="325">
        <v>102000</v>
      </c>
      <c r="M8" s="238">
        <v>84000</v>
      </c>
      <c r="N8" s="238">
        <v>84000</v>
      </c>
    </row>
    <row r="9" spans="1:15" x14ac:dyDescent="0.25">
      <c r="A9" s="315" t="s">
        <v>230</v>
      </c>
      <c r="B9" s="774" t="s">
        <v>27</v>
      </c>
      <c r="C9" s="700"/>
      <c r="D9" s="700"/>
      <c r="E9" s="773"/>
      <c r="F9" s="700"/>
      <c r="G9" s="311">
        <f>308844+185600</f>
        <v>494444</v>
      </c>
      <c r="H9" s="311">
        <v>264819.02</v>
      </c>
      <c r="I9" s="311">
        <f t="shared" si="0"/>
        <v>229624.97999999998</v>
      </c>
      <c r="J9" s="311">
        <v>45069.880000000005</v>
      </c>
      <c r="K9" s="311">
        <f t="shared" si="1"/>
        <v>539513.88</v>
      </c>
      <c r="L9" s="325">
        <v>754296.12</v>
      </c>
      <c r="M9" s="238">
        <v>544560</v>
      </c>
      <c r="N9" s="238">
        <v>544560</v>
      </c>
    </row>
    <row r="10" spans="1:15" x14ac:dyDescent="0.25">
      <c r="A10" s="315" t="s">
        <v>232</v>
      </c>
      <c r="B10" s="774" t="s">
        <v>76</v>
      </c>
      <c r="C10" s="700"/>
      <c r="D10" s="700"/>
      <c r="E10" s="773"/>
      <c r="F10" s="700"/>
      <c r="G10" s="311">
        <v>46295</v>
      </c>
      <c r="H10" s="311">
        <v>28941.3</v>
      </c>
      <c r="I10" s="311">
        <f t="shared" si="0"/>
        <v>17353.7</v>
      </c>
      <c r="J10" s="311">
        <v>11587.600000000006</v>
      </c>
      <c r="K10" s="311">
        <f t="shared" si="1"/>
        <v>57882.600000000006</v>
      </c>
      <c r="L10" s="325">
        <v>69463</v>
      </c>
      <c r="M10" s="238">
        <v>57883</v>
      </c>
      <c r="N10" s="238">
        <v>57883</v>
      </c>
    </row>
    <row r="11" spans="1:15" x14ac:dyDescent="0.25">
      <c r="A11" s="315" t="s">
        <v>344</v>
      </c>
      <c r="B11" s="774" t="s">
        <v>29</v>
      </c>
      <c r="C11" s="700"/>
      <c r="D11" s="700"/>
      <c r="E11" s="773"/>
      <c r="F11" s="700"/>
      <c r="G11" s="311">
        <f>3600+10800</f>
        <v>14400</v>
      </c>
      <c r="H11" s="311">
        <v>5400</v>
      </c>
      <c r="I11" s="311">
        <f t="shared" si="0"/>
        <v>9000</v>
      </c>
      <c r="J11" s="311">
        <v>-3600</v>
      </c>
      <c r="K11" s="311">
        <f t="shared" si="1"/>
        <v>10800</v>
      </c>
      <c r="L11" s="325">
        <v>14400</v>
      </c>
      <c r="M11" s="238">
        <v>10800</v>
      </c>
      <c r="N11" s="238">
        <v>10800</v>
      </c>
    </row>
    <row r="12" spans="1:15" ht="19.5" customHeight="1" x14ac:dyDescent="0.25">
      <c r="A12" s="243" t="s">
        <v>529</v>
      </c>
      <c r="B12" s="777" t="s">
        <v>513</v>
      </c>
      <c r="C12" s="704"/>
      <c r="D12" s="704"/>
      <c r="E12" s="778"/>
      <c r="F12" s="704"/>
      <c r="G12" s="325">
        <v>0</v>
      </c>
      <c r="H12" s="325">
        <v>50040.56</v>
      </c>
      <c r="I12" s="325">
        <f t="shared" si="0"/>
        <v>-50040.56</v>
      </c>
      <c r="J12" s="325">
        <v>50041</v>
      </c>
      <c r="K12" s="325">
        <f t="shared" si="1"/>
        <v>50041</v>
      </c>
      <c r="L12" s="325">
        <v>0</v>
      </c>
      <c r="M12" s="238">
        <v>0</v>
      </c>
      <c r="N12" s="238">
        <v>0</v>
      </c>
    </row>
    <row r="13" spans="1:15" x14ac:dyDescent="0.25">
      <c r="A13" s="315" t="s">
        <v>233</v>
      </c>
      <c r="B13" s="774" t="s">
        <v>31</v>
      </c>
      <c r="C13" s="700"/>
      <c r="D13" s="700"/>
      <c r="E13" s="773"/>
      <c r="F13" s="700"/>
      <c r="G13" s="311">
        <f>486683.85+167208</f>
        <v>653891.85</v>
      </c>
      <c r="H13" s="311">
        <v>487020.92</v>
      </c>
      <c r="I13" s="311">
        <f t="shared" si="0"/>
        <v>166870.93</v>
      </c>
      <c r="J13" s="311">
        <v>23261.240990000078</v>
      </c>
      <c r="K13" s="311">
        <f t="shared" si="1"/>
        <v>677153.09099000006</v>
      </c>
      <c r="L13" s="325">
        <v>778673</v>
      </c>
      <c r="M13" s="238">
        <v>758467</v>
      </c>
      <c r="N13" s="238">
        <v>791840</v>
      </c>
    </row>
    <row r="14" spans="1:15" x14ac:dyDescent="0.25">
      <c r="A14" s="315" t="s">
        <v>234</v>
      </c>
      <c r="B14" s="774" t="s">
        <v>123</v>
      </c>
      <c r="C14" s="700"/>
      <c r="D14" s="700"/>
      <c r="E14" s="773"/>
      <c r="F14" s="700"/>
      <c r="G14" s="311">
        <v>37217</v>
      </c>
      <c r="H14" s="311">
        <v>5503.95</v>
      </c>
      <c r="I14" s="311">
        <f t="shared" si="0"/>
        <v>31713.05</v>
      </c>
      <c r="J14" s="311">
        <v>0</v>
      </c>
      <c r="K14" s="311">
        <f t="shared" si="1"/>
        <v>37217</v>
      </c>
      <c r="L14" s="325">
        <f>K14*1.048</f>
        <v>39003.416000000005</v>
      </c>
      <c r="M14" s="238">
        <f>L14*1.044</f>
        <v>40719.566304000007</v>
      </c>
      <c r="N14" s="238">
        <f>M14*1.045</f>
        <v>42551.946787680004</v>
      </c>
    </row>
    <row r="15" spans="1:15" x14ac:dyDescent="0.25">
      <c r="A15" s="315"/>
      <c r="B15" s="777" t="s">
        <v>545</v>
      </c>
      <c r="C15" s="704"/>
      <c r="D15" s="704"/>
      <c r="E15" s="778"/>
      <c r="F15" s="704"/>
      <c r="G15" s="311">
        <v>51707</v>
      </c>
      <c r="H15" s="311">
        <v>31754.98</v>
      </c>
      <c r="I15" s="311">
        <f t="shared" si="0"/>
        <v>19952.02</v>
      </c>
      <c r="J15" s="311">
        <v>0</v>
      </c>
      <c r="K15" s="311">
        <f t="shared" si="1"/>
        <v>51707</v>
      </c>
      <c r="L15" s="325">
        <f>K15*1.048</f>
        <v>54188.936000000002</v>
      </c>
      <c r="M15" s="238">
        <f>L15*1.045</f>
        <v>56627.438119999999</v>
      </c>
      <c r="N15" s="238">
        <f>M15*1.045</f>
        <v>59175.672835399993</v>
      </c>
    </row>
    <row r="16" spans="1:15" x14ac:dyDescent="0.25">
      <c r="A16" s="315" t="s">
        <v>235</v>
      </c>
      <c r="B16" s="774" t="s">
        <v>236</v>
      </c>
      <c r="C16" s="700"/>
      <c r="D16" s="700"/>
      <c r="E16" s="773"/>
      <c r="F16" s="700"/>
      <c r="G16" s="311">
        <v>867374</v>
      </c>
      <c r="H16" s="311">
        <v>404599.55</v>
      </c>
      <c r="I16" s="311">
        <f t="shared" si="0"/>
        <v>462774.45</v>
      </c>
      <c r="J16" s="311">
        <v>551120.20000000019</v>
      </c>
      <c r="K16" s="311">
        <f t="shared" si="1"/>
        <v>1418494.2000000002</v>
      </c>
      <c r="L16" s="325">
        <v>971038.92000000016</v>
      </c>
      <c r="M16" s="238">
        <v>819186</v>
      </c>
      <c r="N16" s="238">
        <v>819186</v>
      </c>
    </row>
    <row r="17" spans="1:16" hidden="1" x14ac:dyDescent="0.25">
      <c r="A17" s="315" t="s">
        <v>352</v>
      </c>
      <c r="B17" s="779" t="s">
        <v>502</v>
      </c>
      <c r="C17" s="780"/>
      <c r="D17" s="780"/>
      <c r="E17" s="781"/>
      <c r="F17" s="780"/>
      <c r="G17" s="311"/>
      <c r="H17" s="311"/>
      <c r="I17" s="311">
        <f t="shared" si="0"/>
        <v>0</v>
      </c>
      <c r="J17" s="311">
        <v>0</v>
      </c>
      <c r="K17" s="311">
        <f t="shared" si="1"/>
        <v>0</v>
      </c>
      <c r="L17" s="325">
        <v>0</v>
      </c>
      <c r="M17" s="238"/>
      <c r="N17" s="238"/>
    </row>
    <row r="18" spans="1:16" x14ac:dyDescent="0.25">
      <c r="A18" s="315"/>
      <c r="B18" s="777" t="s">
        <v>1209</v>
      </c>
      <c r="C18" s="780"/>
      <c r="D18" s="780"/>
      <c r="E18" s="781"/>
      <c r="F18" s="780"/>
      <c r="G18" s="311"/>
      <c r="H18" s="311"/>
      <c r="I18" s="311"/>
      <c r="J18" s="311"/>
      <c r="K18" s="311"/>
      <c r="L18" s="325">
        <v>131476</v>
      </c>
      <c r="M18" s="238">
        <v>136998</v>
      </c>
      <c r="N18" s="238">
        <v>143025.82</v>
      </c>
    </row>
    <row r="19" spans="1:16" x14ac:dyDescent="0.25">
      <c r="A19" s="782" t="s">
        <v>345</v>
      </c>
      <c r="B19" s="783" t="s">
        <v>328</v>
      </c>
      <c r="C19" s="700"/>
      <c r="D19" s="700"/>
      <c r="E19" s="773"/>
      <c r="F19" s="700"/>
      <c r="G19" s="311">
        <v>226828</v>
      </c>
      <c r="H19" s="311">
        <v>14029.12</v>
      </c>
      <c r="I19" s="311">
        <f t="shared" si="0"/>
        <v>212798.88</v>
      </c>
      <c r="J19" s="311">
        <v>-150000</v>
      </c>
      <c r="K19" s="311">
        <f t="shared" si="1"/>
        <v>76828</v>
      </c>
      <c r="L19" s="325">
        <v>73573.440000000002</v>
      </c>
      <c r="M19" s="348">
        <v>0</v>
      </c>
      <c r="N19" s="238">
        <v>0</v>
      </c>
    </row>
    <row r="20" spans="1:16" x14ac:dyDescent="0.25">
      <c r="A20" s="131"/>
      <c r="C20" s="411"/>
      <c r="D20" s="412"/>
      <c r="E20" s="784"/>
      <c r="F20" s="412"/>
      <c r="G20" s="331">
        <f t="shared" ref="G20:N20" si="2">SUM(G5:G19)</f>
        <v>11413389.85</v>
      </c>
      <c r="H20" s="331">
        <f t="shared" si="2"/>
        <v>5918031.3500000006</v>
      </c>
      <c r="I20" s="331">
        <f t="shared" si="2"/>
        <v>5495358.4999999991</v>
      </c>
      <c r="J20" s="331">
        <f t="shared" si="2"/>
        <v>1417860.1419100005</v>
      </c>
      <c r="K20" s="331">
        <f t="shared" si="2"/>
        <v>12831249.991909999</v>
      </c>
      <c r="L20" s="414">
        <f t="shared" si="2"/>
        <v>13489807.831999999</v>
      </c>
      <c r="M20" s="414">
        <f t="shared" si="2"/>
        <v>12774567.004424</v>
      </c>
      <c r="N20" s="414">
        <f t="shared" si="2"/>
        <v>18302149.319623083</v>
      </c>
    </row>
    <row r="21" spans="1:16" x14ac:dyDescent="0.25">
      <c r="A21" s="131"/>
      <c r="L21" s="418"/>
      <c r="M21" s="336"/>
      <c r="N21" s="336"/>
    </row>
    <row r="22" spans="1:16" x14ac:dyDescent="0.25">
      <c r="A22" s="786" t="s">
        <v>221</v>
      </c>
      <c r="B22" s="772" t="s">
        <v>13</v>
      </c>
      <c r="C22" s="787"/>
      <c r="D22" s="787"/>
      <c r="E22" s="788"/>
      <c r="F22" s="787"/>
      <c r="G22" s="339">
        <f>1782+2257</f>
        <v>4039</v>
      </c>
      <c r="H22" s="339">
        <v>1895.8</v>
      </c>
      <c r="I22" s="339">
        <f>SUM(G22-H22)</f>
        <v>2143.1999999999998</v>
      </c>
      <c r="J22" s="339">
        <v>146</v>
      </c>
      <c r="K22" s="339">
        <f>SUM(G22+J22)</f>
        <v>4185</v>
      </c>
      <c r="L22" s="359">
        <v>4853</v>
      </c>
      <c r="M22" s="344">
        <v>3893</v>
      </c>
      <c r="N22" s="344">
        <v>3893</v>
      </c>
    </row>
    <row r="23" spans="1:16" x14ac:dyDescent="0.25">
      <c r="A23" s="315" t="s">
        <v>222</v>
      </c>
      <c r="B23" s="774" t="s">
        <v>15</v>
      </c>
      <c r="C23" s="700"/>
      <c r="D23" s="700"/>
      <c r="E23" s="773"/>
      <c r="F23" s="700"/>
      <c r="G23" s="311">
        <f>911294+273911</f>
        <v>1185205</v>
      </c>
      <c r="H23" s="311">
        <v>602523.19999999995</v>
      </c>
      <c r="I23" s="311">
        <f t="shared" ref="I23:I25" si="3">SUM(G23-H23)</f>
        <v>582681.80000000005</v>
      </c>
      <c r="J23" s="311">
        <v>46606.459999999963</v>
      </c>
      <c r="K23" s="311">
        <f t="shared" ref="K23:K25" si="4">SUM(G23+J23)</f>
        <v>1231811.46</v>
      </c>
      <c r="L23" s="325">
        <v>1227997</v>
      </c>
      <c r="M23" s="238">
        <f>L23*1.044</f>
        <v>1282028.868</v>
      </c>
      <c r="N23" s="238">
        <f>M23*1.045</f>
        <v>1339720.1670599999</v>
      </c>
    </row>
    <row r="24" spans="1:16" x14ac:dyDescent="0.25">
      <c r="A24" s="315" t="s">
        <v>223</v>
      </c>
      <c r="B24" s="774" t="s">
        <v>17</v>
      </c>
      <c r="C24" s="700"/>
      <c r="D24" s="700"/>
      <c r="E24" s="773"/>
      <c r="F24" s="700"/>
      <c r="G24" s="311">
        <f>1056025+359917+76992</f>
        <v>1492934</v>
      </c>
      <c r="H24" s="311">
        <v>690345.25</v>
      </c>
      <c r="I24" s="311">
        <f t="shared" si="3"/>
        <v>802588.75</v>
      </c>
      <c r="J24" s="311">
        <v>41720.201920000138</v>
      </c>
      <c r="K24" s="311">
        <f t="shared" si="4"/>
        <v>1534654.2019200001</v>
      </c>
      <c r="L24" s="325">
        <v>1685068</v>
      </c>
      <c r="M24" s="238">
        <f>L24*1.044</f>
        <v>1759210.9920000001</v>
      </c>
      <c r="N24" s="238">
        <f>M24*1.45</f>
        <v>2550855.9383999999</v>
      </c>
    </row>
    <row r="25" spans="1:16" x14ac:dyDescent="0.25">
      <c r="A25" s="782" t="s">
        <v>224</v>
      </c>
      <c r="B25" s="783" t="s">
        <v>19</v>
      </c>
      <c r="C25" s="700"/>
      <c r="D25" s="700"/>
      <c r="E25" s="773"/>
      <c r="F25" s="700"/>
      <c r="G25" s="311">
        <f>38869+32228</f>
        <v>71097</v>
      </c>
      <c r="H25" s="311">
        <v>35111.019999999997</v>
      </c>
      <c r="I25" s="311">
        <f t="shared" si="3"/>
        <v>35985.980000000003</v>
      </c>
      <c r="J25" s="311">
        <v>-104.64000000002852</v>
      </c>
      <c r="K25" s="311">
        <f t="shared" si="4"/>
        <v>70992.359999999971</v>
      </c>
      <c r="L25" s="325">
        <v>71651</v>
      </c>
      <c r="M25" s="238">
        <v>69863</v>
      </c>
      <c r="N25" s="238">
        <v>69863</v>
      </c>
    </row>
    <row r="26" spans="1:16" x14ac:dyDescent="0.25">
      <c r="A26" s="131"/>
      <c r="C26" s="411"/>
      <c r="D26" s="412"/>
      <c r="E26" s="784"/>
      <c r="F26" s="412"/>
      <c r="G26" s="331">
        <f t="shared" ref="G26:N26" si="5">SUM(G22:G25)</f>
        <v>2753275</v>
      </c>
      <c r="H26" s="331">
        <f t="shared" si="5"/>
        <v>1329875.27</v>
      </c>
      <c r="I26" s="331">
        <f t="shared" si="5"/>
        <v>1423399.73</v>
      </c>
      <c r="J26" s="331">
        <f t="shared" si="5"/>
        <v>88368.021920000072</v>
      </c>
      <c r="K26" s="331">
        <f t="shared" si="5"/>
        <v>2841643.0219199997</v>
      </c>
      <c r="L26" s="414">
        <f t="shared" si="5"/>
        <v>2989569</v>
      </c>
      <c r="M26" s="414">
        <f t="shared" si="5"/>
        <v>3114995.8600000003</v>
      </c>
      <c r="N26" s="414">
        <f t="shared" si="5"/>
        <v>3964332.1054599998</v>
      </c>
    </row>
    <row r="27" spans="1:16" x14ac:dyDescent="0.25">
      <c r="A27" s="131"/>
      <c r="L27" s="418"/>
      <c r="M27" s="336"/>
      <c r="N27" s="336"/>
    </row>
    <row r="28" spans="1:16" ht="16.5" thickBot="1" x14ac:dyDescent="0.3">
      <c r="A28" s="131"/>
      <c r="C28" s="504"/>
      <c r="D28" s="504"/>
      <c r="E28" s="789"/>
      <c r="F28" s="504"/>
      <c r="G28" s="353">
        <f t="shared" ref="G28:N28" si="6">G20+G26</f>
        <v>14166664.85</v>
      </c>
      <c r="H28" s="353">
        <f t="shared" si="6"/>
        <v>7247906.620000001</v>
      </c>
      <c r="I28" s="353">
        <f t="shared" si="6"/>
        <v>6918758.2299999986</v>
      </c>
      <c r="J28" s="353">
        <f t="shared" si="6"/>
        <v>1506228.1638300004</v>
      </c>
      <c r="K28" s="353">
        <f t="shared" si="6"/>
        <v>15672893.013829999</v>
      </c>
      <c r="L28" s="354">
        <f t="shared" si="6"/>
        <v>16479376.831999999</v>
      </c>
      <c r="M28" s="354">
        <f t="shared" si="6"/>
        <v>15889562.864424001</v>
      </c>
      <c r="N28" s="354">
        <f t="shared" si="6"/>
        <v>22266481.425083082</v>
      </c>
      <c r="P28" s="827"/>
    </row>
    <row r="29" spans="1:16" x14ac:dyDescent="0.25">
      <c r="A29" s="131"/>
      <c r="L29" s="418"/>
      <c r="M29" s="336"/>
      <c r="N29" s="336"/>
    </row>
    <row r="30" spans="1:16" x14ac:dyDescent="0.25">
      <c r="A30" s="131"/>
      <c r="L30" s="418"/>
      <c r="M30" s="336"/>
      <c r="N30" s="336"/>
    </row>
    <row r="31" spans="1:16" x14ac:dyDescent="0.25">
      <c r="A31" s="131"/>
      <c r="L31" s="418"/>
      <c r="M31" s="336"/>
      <c r="N31" s="336"/>
    </row>
    <row r="32" spans="1:16" hidden="1" x14ac:dyDescent="0.25">
      <c r="A32" s="790" t="s">
        <v>346</v>
      </c>
      <c r="B32" s="790" t="s">
        <v>317</v>
      </c>
      <c r="C32" s="426"/>
      <c r="D32" s="426"/>
      <c r="E32" s="427"/>
      <c r="F32" s="722"/>
      <c r="G32" s="340">
        <v>0</v>
      </c>
      <c r="H32" s="341"/>
      <c r="I32" s="340"/>
      <c r="J32" s="341"/>
      <c r="K32" s="341">
        <f>SUM(G32+J32)</f>
        <v>0</v>
      </c>
      <c r="L32" s="592">
        <f>K32*1.048</f>
        <v>0</v>
      </c>
      <c r="M32" s="344">
        <f>L32*1.044</f>
        <v>0</v>
      </c>
      <c r="N32" s="344">
        <f>M32*1.045</f>
        <v>0</v>
      </c>
    </row>
    <row r="33" spans="1:21" x14ac:dyDescent="0.25">
      <c r="A33" s="621" t="s">
        <v>347</v>
      </c>
      <c r="B33" s="621" t="s">
        <v>319</v>
      </c>
      <c r="C33" s="428"/>
      <c r="D33" s="428"/>
      <c r="E33" s="429"/>
      <c r="F33" s="724"/>
      <c r="G33" s="435">
        <v>66313.460000000006</v>
      </c>
      <c r="H33" s="341">
        <v>124460.19</v>
      </c>
      <c r="I33" s="340">
        <f>SUM(G33-H33)</f>
        <v>-58146.729999999996</v>
      </c>
      <c r="J33" s="341">
        <v>16500</v>
      </c>
      <c r="K33" s="341">
        <f t="shared" ref="K33:K38" si="7">SUM(G33+J33)</f>
        <v>82813.460000000006</v>
      </c>
      <c r="L33" s="342">
        <f t="shared" ref="L33:L38" si="8">K33*1.048</f>
        <v>86788.506080000006</v>
      </c>
      <c r="M33" s="344">
        <f t="shared" ref="M33:M38" si="9">L33*1.044</f>
        <v>90607.200347520004</v>
      </c>
      <c r="N33" s="344">
        <f t="shared" ref="N33:N38" si="10">M33*1.045</f>
        <v>94684.524363158402</v>
      </c>
    </row>
    <row r="34" spans="1:21" x14ac:dyDescent="0.25">
      <c r="A34" s="621" t="s">
        <v>348</v>
      </c>
      <c r="B34" s="621" t="s">
        <v>321</v>
      </c>
      <c r="C34" s="428"/>
      <c r="D34" s="428"/>
      <c r="E34" s="429"/>
      <c r="F34" s="724"/>
      <c r="G34" s="489">
        <v>13160.24</v>
      </c>
      <c r="H34" s="313">
        <v>170189.67</v>
      </c>
      <c r="I34" s="312">
        <f t="shared" ref="I34:I38" si="11">SUM(G34-H34)</f>
        <v>-157029.43000000002</v>
      </c>
      <c r="J34" s="313">
        <v>145290</v>
      </c>
      <c r="K34" s="313">
        <f t="shared" si="7"/>
        <v>158450.23999999999</v>
      </c>
      <c r="L34" s="239">
        <f t="shared" si="8"/>
        <v>166055.85152</v>
      </c>
      <c r="M34" s="238">
        <f t="shared" si="9"/>
        <v>173362.30898688</v>
      </c>
      <c r="N34" s="238">
        <f t="shared" si="10"/>
        <v>181163.61289128958</v>
      </c>
    </row>
    <row r="35" spans="1:21" x14ac:dyDescent="0.25">
      <c r="A35" s="621" t="s">
        <v>349</v>
      </c>
      <c r="B35" s="621" t="s">
        <v>333</v>
      </c>
      <c r="C35" s="428"/>
      <c r="D35" s="428"/>
      <c r="E35" s="429"/>
      <c r="F35" s="724"/>
      <c r="G35" s="489">
        <v>197514.7</v>
      </c>
      <c r="H35" s="313">
        <v>180950.34</v>
      </c>
      <c r="I35" s="312">
        <f t="shared" si="11"/>
        <v>16564.360000000015</v>
      </c>
      <c r="J35" s="313">
        <f>379453-60990</f>
        <v>318463</v>
      </c>
      <c r="K35" s="313">
        <f t="shared" si="7"/>
        <v>515977.7</v>
      </c>
      <c r="L35" s="239">
        <f t="shared" si="8"/>
        <v>540744.62959999999</v>
      </c>
      <c r="M35" s="238">
        <f t="shared" si="9"/>
        <v>564537.39330240001</v>
      </c>
      <c r="N35" s="238">
        <f t="shared" si="10"/>
        <v>589941.57600100792</v>
      </c>
    </row>
    <row r="36" spans="1:21" hidden="1" x14ac:dyDescent="0.25">
      <c r="A36" s="782" t="s">
        <v>527</v>
      </c>
      <c r="B36" s="315" t="s">
        <v>353</v>
      </c>
      <c r="C36" s="314"/>
      <c r="D36" s="314"/>
      <c r="E36" s="791"/>
      <c r="F36" s="587"/>
      <c r="G36" s="489"/>
      <c r="H36" s="313"/>
      <c r="I36" s="312">
        <f t="shared" si="11"/>
        <v>0</v>
      </c>
      <c r="J36" s="313"/>
      <c r="K36" s="313">
        <f t="shared" si="7"/>
        <v>0</v>
      </c>
      <c r="L36" s="239">
        <f t="shared" si="8"/>
        <v>0</v>
      </c>
      <c r="M36" s="238">
        <f t="shared" si="9"/>
        <v>0</v>
      </c>
      <c r="N36" s="238">
        <f t="shared" si="10"/>
        <v>0</v>
      </c>
    </row>
    <row r="37" spans="1:21" x14ac:dyDescent="0.25">
      <c r="A37" s="316"/>
      <c r="B37" s="792" t="s">
        <v>960</v>
      </c>
      <c r="C37" s="361"/>
      <c r="D37" s="361"/>
      <c r="E37" s="793"/>
      <c r="F37" s="794"/>
      <c r="G37" s="489">
        <v>41858.370000000003</v>
      </c>
      <c r="H37" s="313">
        <v>135815.06</v>
      </c>
      <c r="I37" s="312">
        <f t="shared" si="11"/>
        <v>-93956.69</v>
      </c>
      <c r="J37" s="313">
        <v>20000</v>
      </c>
      <c r="K37" s="313">
        <f t="shared" si="7"/>
        <v>61858.37</v>
      </c>
      <c r="L37" s="325">
        <f t="shared" si="8"/>
        <v>64827.571760000006</v>
      </c>
      <c r="M37" s="325">
        <f t="shared" si="9"/>
        <v>67679.984917440015</v>
      </c>
      <c r="N37" s="238">
        <f t="shared" si="10"/>
        <v>70725.584238724812</v>
      </c>
    </row>
    <row r="38" spans="1:21" s="242" customFormat="1" x14ac:dyDescent="0.25">
      <c r="A38" s="232"/>
      <c r="B38" s="232" t="s">
        <v>997</v>
      </c>
      <c r="C38" s="364"/>
      <c r="D38" s="364"/>
      <c r="E38" s="795"/>
      <c r="F38" s="796"/>
      <c r="G38" s="538">
        <f>813656*1.039</f>
        <v>845388.58399999992</v>
      </c>
      <c r="H38" s="348"/>
      <c r="I38" s="358">
        <f t="shared" si="11"/>
        <v>845388.58399999992</v>
      </c>
      <c r="J38" s="348">
        <v>-320592</v>
      </c>
      <c r="K38" s="326">
        <f t="shared" si="7"/>
        <v>524796.58399999992</v>
      </c>
      <c r="L38" s="326">
        <f t="shared" si="8"/>
        <v>549986.82003199996</v>
      </c>
      <c r="M38" s="326">
        <f t="shared" si="9"/>
        <v>574186.24011340796</v>
      </c>
      <c r="N38" s="348">
        <f t="shared" si="10"/>
        <v>600024.6209185113</v>
      </c>
      <c r="O38" s="336"/>
      <c r="P38" s="336"/>
      <c r="Q38" s="336"/>
      <c r="R38" s="336"/>
      <c r="S38" s="336"/>
      <c r="T38" s="336"/>
      <c r="U38" s="336"/>
    </row>
    <row r="39" spans="1:21" x14ac:dyDescent="0.25">
      <c r="A39" s="131"/>
      <c r="C39" s="411"/>
      <c r="D39" s="412"/>
      <c r="E39" s="784"/>
      <c r="F39" s="412"/>
      <c r="G39" s="434">
        <f>SUM(G32:G38)</f>
        <v>1164235.3539999998</v>
      </c>
      <c r="H39" s="434">
        <f t="shared" ref="H39:N39" si="12">SUM(H32:H38)</f>
        <v>611415.26</v>
      </c>
      <c r="I39" s="434">
        <f t="shared" si="12"/>
        <v>552820.09399999992</v>
      </c>
      <c r="J39" s="434">
        <f t="shared" si="12"/>
        <v>179661</v>
      </c>
      <c r="K39" s="434">
        <f t="shared" si="12"/>
        <v>1343896.3539999998</v>
      </c>
      <c r="L39" s="349">
        <f t="shared" si="12"/>
        <v>1408403.3789919999</v>
      </c>
      <c r="M39" s="349">
        <f t="shared" si="12"/>
        <v>1470373.1276676478</v>
      </c>
      <c r="N39" s="349">
        <f t="shared" si="12"/>
        <v>1536539.9184126919</v>
      </c>
    </row>
    <row r="40" spans="1:21" x14ac:dyDescent="0.25">
      <c r="A40" s="131"/>
      <c r="L40" s="418"/>
      <c r="M40" s="336"/>
      <c r="N40" s="336"/>
    </row>
    <row r="41" spans="1:21" x14ac:dyDescent="0.25">
      <c r="A41" s="131"/>
      <c r="L41" s="418"/>
      <c r="M41" s="336"/>
      <c r="N41" s="336"/>
    </row>
    <row r="42" spans="1:21" s="242" customFormat="1" ht="18" customHeight="1" x14ac:dyDescent="0.25">
      <c r="A42" s="756" t="s">
        <v>196</v>
      </c>
      <c r="B42" s="797" t="s">
        <v>859</v>
      </c>
      <c r="C42" s="305" t="s">
        <v>313</v>
      </c>
      <c r="D42" s="305" t="s">
        <v>1099</v>
      </c>
      <c r="E42" s="798" t="s">
        <v>1068</v>
      </c>
      <c r="F42" s="679" t="s">
        <v>1064</v>
      </c>
      <c r="G42" s="343">
        <f>400000-100000</f>
        <v>300000</v>
      </c>
      <c r="H42" s="343">
        <v>199440</v>
      </c>
      <c r="I42" s="343">
        <f>SUM(G42-H42)</f>
        <v>100560</v>
      </c>
      <c r="J42" s="343">
        <v>0</v>
      </c>
      <c r="K42" s="344">
        <f t="shared" ref="K42:K47" si="13">SUM(G42+J42)</f>
        <v>300000</v>
      </c>
      <c r="L42" s="344">
        <v>300000</v>
      </c>
      <c r="M42" s="344">
        <v>150000</v>
      </c>
      <c r="N42" s="344">
        <f>M42*1.045</f>
        <v>156750</v>
      </c>
      <c r="O42" s="336"/>
      <c r="P42" s="336"/>
      <c r="Q42" s="336"/>
      <c r="R42" s="336"/>
      <c r="S42" s="336"/>
      <c r="T42" s="336"/>
      <c r="U42" s="336"/>
    </row>
    <row r="43" spans="1:21" s="242" customFormat="1" ht="18" customHeight="1" x14ac:dyDescent="0.25">
      <c r="A43" s="243"/>
      <c r="B43" s="232" t="s">
        <v>215</v>
      </c>
      <c r="C43" s="244" t="s">
        <v>313</v>
      </c>
      <c r="D43" s="244" t="s">
        <v>1047</v>
      </c>
      <c r="E43" s="246" t="s">
        <v>1083</v>
      </c>
      <c r="F43" s="636" t="s">
        <v>1064</v>
      </c>
      <c r="G43" s="237">
        <v>660938</v>
      </c>
      <c r="H43" s="237">
        <f>142664.22+128235.23</f>
        <v>270899.45</v>
      </c>
      <c r="I43" s="237">
        <f>SUM(G43-H43)</f>
        <v>390038.55</v>
      </c>
      <c r="J43" s="237">
        <v>0</v>
      </c>
      <c r="K43" s="238">
        <f t="shared" si="13"/>
        <v>660938</v>
      </c>
      <c r="L43" s="238">
        <f>K43*1.048-15000-7000</f>
        <v>670663.02399999998</v>
      </c>
      <c r="M43" s="238">
        <v>550000</v>
      </c>
      <c r="N43" s="238">
        <f>M43*1.045</f>
        <v>574750</v>
      </c>
      <c r="O43" s="336"/>
      <c r="P43" s="336"/>
      <c r="Q43" s="336"/>
      <c r="R43" s="336"/>
      <c r="S43" s="336"/>
      <c r="T43" s="336"/>
      <c r="U43" s="336"/>
    </row>
    <row r="44" spans="1:21" s="242" customFormat="1" ht="18" customHeight="1" x14ac:dyDescent="0.25">
      <c r="A44" s="243" t="s">
        <v>198</v>
      </c>
      <c r="B44" s="232" t="s">
        <v>927</v>
      </c>
      <c r="C44" s="244"/>
      <c r="D44" s="244" t="s">
        <v>1057</v>
      </c>
      <c r="E44" s="675"/>
      <c r="F44" s="799" t="s">
        <v>1064</v>
      </c>
      <c r="G44" s="237"/>
      <c r="H44" s="237"/>
      <c r="I44" s="237"/>
      <c r="J44" s="237"/>
      <c r="K44" s="238">
        <f t="shared" si="13"/>
        <v>0</v>
      </c>
      <c r="L44" s="238"/>
      <c r="M44" s="238"/>
      <c r="N44" s="238"/>
      <c r="O44" s="336"/>
      <c r="P44" s="336"/>
      <c r="Q44" s="336"/>
      <c r="R44" s="336"/>
      <c r="S44" s="336"/>
      <c r="T44" s="336"/>
      <c r="U44" s="336"/>
    </row>
    <row r="45" spans="1:21" ht="18" customHeight="1" x14ac:dyDescent="0.25">
      <c r="A45" s="315" t="s">
        <v>200</v>
      </c>
      <c r="B45" s="232" t="s">
        <v>205</v>
      </c>
      <c r="C45" s="244" t="s">
        <v>313</v>
      </c>
      <c r="D45" s="244" t="s">
        <v>1057</v>
      </c>
      <c r="E45" s="800" t="s">
        <v>1079</v>
      </c>
      <c r="F45" s="636" t="s">
        <v>1064</v>
      </c>
      <c r="G45" s="238">
        <v>79662</v>
      </c>
      <c r="H45" s="238">
        <v>34009</v>
      </c>
      <c r="I45" s="238">
        <f>SUM(G45-H45)</f>
        <v>45653</v>
      </c>
      <c r="J45" s="238">
        <v>0</v>
      </c>
      <c r="K45" s="238">
        <f t="shared" si="13"/>
        <v>79662</v>
      </c>
      <c r="L45" s="238">
        <f>100000-50000</f>
        <v>50000</v>
      </c>
      <c r="M45" s="238">
        <f>L45*1.044</f>
        <v>52200</v>
      </c>
      <c r="N45" s="238">
        <f>M45*1.045</f>
        <v>54548.999999999993</v>
      </c>
    </row>
    <row r="46" spans="1:21" ht="18" customHeight="1" x14ac:dyDescent="0.25">
      <c r="A46" s="315"/>
      <c r="B46" s="232" t="s">
        <v>207</v>
      </c>
      <c r="C46" s="244" t="s">
        <v>313</v>
      </c>
      <c r="D46" s="244" t="s">
        <v>1057</v>
      </c>
      <c r="E46" s="246" t="s">
        <v>1080</v>
      </c>
      <c r="F46" s="636" t="s">
        <v>1064</v>
      </c>
      <c r="G46" s="238">
        <v>161114</v>
      </c>
      <c r="H46" s="238">
        <f>81609+23515</f>
        <v>105124</v>
      </c>
      <c r="I46" s="238">
        <f>SUM(G46-H46)</f>
        <v>55990</v>
      </c>
      <c r="J46" s="238">
        <v>120000</v>
      </c>
      <c r="K46" s="238">
        <f t="shared" si="13"/>
        <v>281114</v>
      </c>
      <c r="L46" s="238">
        <f>350000-150000</f>
        <v>200000</v>
      </c>
      <c r="M46" s="238">
        <f>L46*1.044</f>
        <v>208800</v>
      </c>
      <c r="N46" s="238">
        <f>M46*1.045</f>
        <v>218195.99999999997</v>
      </c>
    </row>
    <row r="47" spans="1:21" s="242" customFormat="1" ht="18" customHeight="1" x14ac:dyDescent="0.25">
      <c r="A47" s="243" t="s">
        <v>237</v>
      </c>
      <c r="B47" s="191" t="s">
        <v>856</v>
      </c>
      <c r="C47" s="244" t="s">
        <v>313</v>
      </c>
      <c r="D47" s="244" t="s">
        <v>1057</v>
      </c>
      <c r="E47" s="246" t="s">
        <v>1071</v>
      </c>
      <c r="F47" s="636" t="s">
        <v>1064</v>
      </c>
      <c r="G47" s="238">
        <v>25000</v>
      </c>
      <c r="H47" s="238"/>
      <c r="I47" s="238">
        <f>SUM(G47-H47)</f>
        <v>25000</v>
      </c>
      <c r="J47" s="238">
        <v>0</v>
      </c>
      <c r="K47" s="238">
        <f t="shared" si="13"/>
        <v>25000</v>
      </c>
      <c r="L47" s="238">
        <v>0</v>
      </c>
      <c r="M47" s="238">
        <v>0</v>
      </c>
      <c r="N47" s="238">
        <v>0</v>
      </c>
      <c r="O47" s="336"/>
      <c r="P47" s="336"/>
      <c r="Q47" s="336"/>
      <c r="R47" s="336"/>
      <c r="S47" s="336"/>
      <c r="T47" s="336"/>
      <c r="U47" s="336"/>
    </row>
    <row r="48" spans="1:21" ht="18" customHeight="1" x14ac:dyDescent="0.25">
      <c r="A48" s="315"/>
      <c r="B48" s="232" t="s">
        <v>1212</v>
      </c>
      <c r="C48" s="244"/>
      <c r="D48" s="244"/>
      <c r="E48" s="246"/>
      <c r="F48" s="799"/>
      <c r="G48" s="238"/>
      <c r="H48" s="238"/>
      <c r="I48" s="238"/>
      <c r="J48" s="238"/>
      <c r="K48" s="238"/>
      <c r="L48" s="238">
        <v>15000</v>
      </c>
      <c r="M48" s="238">
        <f>L48*1.044</f>
        <v>15660</v>
      </c>
      <c r="N48" s="238">
        <f>M48*1.045</f>
        <v>16364.699999999999</v>
      </c>
    </row>
    <row r="49" spans="1:170" s="830" customFormat="1" ht="18" customHeight="1" x14ac:dyDescent="0.25">
      <c r="A49" s="801"/>
      <c r="B49" s="191" t="s">
        <v>1316</v>
      </c>
      <c r="C49" s="244"/>
      <c r="D49" s="244"/>
      <c r="E49" s="675"/>
      <c r="F49" s="799"/>
      <c r="G49" s="238"/>
      <c r="H49" s="238"/>
      <c r="I49" s="238"/>
      <c r="J49" s="238"/>
      <c r="K49" s="238"/>
      <c r="L49" s="238">
        <f>15000</f>
        <v>15000</v>
      </c>
      <c r="M49" s="238">
        <f>L49*1.044</f>
        <v>15660</v>
      </c>
      <c r="N49" s="238">
        <f>M49*1.045</f>
        <v>16364.699999999999</v>
      </c>
      <c r="O49" s="828"/>
      <c r="P49" s="828"/>
      <c r="Q49" s="828"/>
      <c r="R49" s="828"/>
      <c r="S49" s="828"/>
      <c r="T49" s="829"/>
      <c r="U49" s="829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6"/>
      <c r="BX49" s="236"/>
      <c r="BY49" s="236"/>
      <c r="BZ49" s="236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  <c r="CL49" s="236"/>
      <c r="CM49" s="236"/>
      <c r="CN49" s="236"/>
      <c r="CO49" s="236"/>
      <c r="CP49" s="236"/>
      <c r="CQ49" s="236"/>
      <c r="CR49" s="236"/>
      <c r="CS49" s="236"/>
      <c r="CT49" s="236"/>
      <c r="CU49" s="236"/>
      <c r="CV49" s="236"/>
      <c r="CW49" s="236"/>
      <c r="CX49" s="236"/>
      <c r="CY49" s="236"/>
      <c r="CZ49" s="236"/>
      <c r="DA49" s="236"/>
      <c r="DB49" s="236"/>
      <c r="DC49" s="236"/>
      <c r="DD49" s="236"/>
      <c r="DE49" s="236"/>
      <c r="DF49" s="236"/>
      <c r="DG49" s="236"/>
      <c r="DH49" s="236"/>
      <c r="DI49" s="236"/>
      <c r="DJ49" s="236"/>
      <c r="DK49" s="236"/>
      <c r="DL49" s="236"/>
      <c r="DM49" s="236"/>
      <c r="DN49" s="236"/>
      <c r="DO49" s="236"/>
      <c r="DP49" s="236"/>
      <c r="DQ49" s="236"/>
      <c r="DR49" s="236"/>
      <c r="DS49" s="236"/>
      <c r="DT49" s="236"/>
      <c r="DU49" s="236"/>
      <c r="DV49" s="236"/>
      <c r="DW49" s="236"/>
      <c r="DX49" s="236"/>
      <c r="DY49" s="236"/>
      <c r="DZ49" s="236"/>
      <c r="EA49" s="236"/>
      <c r="EB49" s="236"/>
      <c r="EC49" s="236"/>
      <c r="ED49" s="236"/>
      <c r="EE49" s="236"/>
      <c r="EF49" s="236"/>
      <c r="EG49" s="236"/>
      <c r="EH49" s="236"/>
      <c r="EI49" s="236"/>
      <c r="EJ49" s="236"/>
      <c r="EK49" s="236"/>
      <c r="EL49" s="236"/>
      <c r="EM49" s="236"/>
      <c r="EN49" s="236"/>
      <c r="EO49" s="236"/>
      <c r="EP49" s="236"/>
      <c r="EQ49" s="236"/>
      <c r="ER49" s="236"/>
      <c r="ES49" s="236"/>
      <c r="ET49" s="236"/>
      <c r="EU49" s="236"/>
      <c r="EV49" s="236"/>
      <c r="EW49" s="236"/>
      <c r="EX49" s="236"/>
      <c r="EY49" s="236"/>
      <c r="EZ49" s="236"/>
      <c r="FA49" s="236"/>
      <c r="FB49" s="236"/>
      <c r="FC49" s="236"/>
      <c r="FD49" s="236"/>
      <c r="FE49" s="236"/>
      <c r="FF49" s="236"/>
      <c r="FG49" s="236"/>
      <c r="FH49" s="236"/>
      <c r="FI49" s="236"/>
      <c r="FJ49" s="236"/>
      <c r="FK49" s="236"/>
      <c r="FL49" s="236"/>
      <c r="FM49" s="236"/>
      <c r="FN49" s="236"/>
    </row>
    <row r="50" spans="1:170" s="242" customFormat="1" ht="18" customHeight="1" x14ac:dyDescent="0.25">
      <c r="A50" s="243"/>
      <c r="B50" s="191" t="s">
        <v>241</v>
      </c>
      <c r="C50" s="244" t="s">
        <v>313</v>
      </c>
      <c r="D50" s="244" t="s">
        <v>1057</v>
      </c>
      <c r="E50" s="246" t="s">
        <v>1075</v>
      </c>
      <c r="F50" s="636"/>
      <c r="G50" s="238">
        <v>0</v>
      </c>
      <c r="H50" s="238">
        <v>81000</v>
      </c>
      <c r="I50" s="238">
        <f t="shared" ref="I50:I74" si="14">SUM(G50-H50)</f>
        <v>-81000</v>
      </c>
      <c r="J50" s="238">
        <v>81000</v>
      </c>
      <c r="K50" s="238">
        <f t="shared" ref="K50:K74" si="15">SUM(G50+J50)</f>
        <v>81000</v>
      </c>
      <c r="L50" s="238">
        <v>0</v>
      </c>
      <c r="M50" s="238">
        <v>0</v>
      </c>
      <c r="N50" s="238">
        <v>0</v>
      </c>
      <c r="O50" s="336"/>
      <c r="P50" s="336"/>
      <c r="Q50" s="336"/>
      <c r="R50" s="336"/>
      <c r="S50" s="336"/>
      <c r="T50" s="336"/>
      <c r="U50" s="336"/>
    </row>
    <row r="51" spans="1:170" s="242" customFormat="1" ht="18" customHeight="1" x14ac:dyDescent="0.25">
      <c r="A51" s="243"/>
      <c r="B51" s="191" t="s">
        <v>938</v>
      </c>
      <c r="C51" s="244" t="s">
        <v>313</v>
      </c>
      <c r="D51" s="244" t="s">
        <v>1057</v>
      </c>
      <c r="E51" s="675" t="s">
        <v>1069</v>
      </c>
      <c r="F51" s="636" t="s">
        <v>1064</v>
      </c>
      <c r="G51" s="238">
        <f>673659</f>
        <v>673659</v>
      </c>
      <c r="H51" s="238">
        <v>382992.53</v>
      </c>
      <c r="I51" s="238">
        <f t="shared" si="14"/>
        <v>290666.46999999997</v>
      </c>
      <c r="J51" s="238">
        <v>47900</v>
      </c>
      <c r="K51" s="238">
        <f t="shared" si="15"/>
        <v>721559</v>
      </c>
      <c r="L51" s="238">
        <f>K51*1.048-30000-20000</f>
        <v>706193.83200000005</v>
      </c>
      <c r="M51" s="238">
        <v>500000</v>
      </c>
      <c r="N51" s="238">
        <f>M51*1.045</f>
        <v>522499.99999999994</v>
      </c>
      <c r="O51" s="336"/>
      <c r="P51" s="336"/>
      <c r="Q51" s="336"/>
      <c r="R51" s="336"/>
      <c r="S51" s="336"/>
      <c r="T51" s="336"/>
      <c r="U51" s="336"/>
    </row>
    <row r="52" spans="1:170" s="242" customFormat="1" ht="18" customHeight="1" x14ac:dyDescent="0.25">
      <c r="A52" s="243"/>
      <c r="B52" s="802" t="s">
        <v>937</v>
      </c>
      <c r="C52" s="803" t="s">
        <v>313</v>
      </c>
      <c r="D52" s="803" t="s">
        <v>1047</v>
      </c>
      <c r="E52" s="804" t="s">
        <v>1070</v>
      </c>
      <c r="F52" s="805" t="s">
        <v>1064</v>
      </c>
      <c r="G52" s="238">
        <v>496800</v>
      </c>
      <c r="H52" s="238">
        <v>251652.17</v>
      </c>
      <c r="I52" s="238">
        <f t="shared" si="14"/>
        <v>245147.83</v>
      </c>
      <c r="J52" s="238">
        <v>0</v>
      </c>
      <c r="K52" s="238">
        <f t="shared" si="15"/>
        <v>496800</v>
      </c>
      <c r="L52" s="238">
        <v>496800</v>
      </c>
      <c r="M52" s="806">
        <v>500000</v>
      </c>
      <c r="N52" s="806">
        <v>500000</v>
      </c>
      <c r="O52" s="336"/>
      <c r="P52" s="336"/>
      <c r="Q52" s="336"/>
      <c r="R52" s="336"/>
      <c r="S52" s="336"/>
      <c r="T52" s="336"/>
      <c r="U52" s="336"/>
    </row>
    <row r="53" spans="1:170" s="242" customFormat="1" ht="18" customHeight="1" x14ac:dyDescent="0.25">
      <c r="A53" s="243" t="s">
        <v>238</v>
      </c>
      <c r="B53" s="191" t="s">
        <v>239</v>
      </c>
      <c r="C53" s="244" t="s">
        <v>313</v>
      </c>
      <c r="D53" s="244" t="s">
        <v>1057</v>
      </c>
      <c r="E53" s="675" t="s">
        <v>1074</v>
      </c>
      <c r="F53" s="636" t="s">
        <v>1064</v>
      </c>
      <c r="G53" s="238">
        <v>285057</v>
      </c>
      <c r="H53" s="238">
        <v>116354.95</v>
      </c>
      <c r="I53" s="238">
        <f t="shared" si="14"/>
        <v>168702.05</v>
      </c>
      <c r="J53" s="238">
        <v>0</v>
      </c>
      <c r="K53" s="238">
        <f t="shared" si="15"/>
        <v>285057</v>
      </c>
      <c r="L53" s="238">
        <f>200000</f>
        <v>200000</v>
      </c>
      <c r="M53" s="238">
        <f>L53*1.044</f>
        <v>208800</v>
      </c>
      <c r="N53" s="238">
        <f>M53*1.045</f>
        <v>218195.99999999997</v>
      </c>
      <c r="O53" s="336"/>
      <c r="P53" s="336"/>
      <c r="Q53" s="336"/>
      <c r="R53" s="336"/>
      <c r="S53" s="336"/>
      <c r="T53" s="336"/>
      <c r="U53" s="336"/>
    </row>
    <row r="54" spans="1:170" s="242" customFormat="1" ht="18" customHeight="1" x14ac:dyDescent="0.25">
      <c r="A54" s="243" t="s">
        <v>240</v>
      </c>
      <c r="B54" s="360" t="s">
        <v>943</v>
      </c>
      <c r="C54" s="361" t="s">
        <v>313</v>
      </c>
      <c r="D54" s="361" t="s">
        <v>1057</v>
      </c>
      <c r="E54" s="793" t="s">
        <v>1069</v>
      </c>
      <c r="F54" s="807" t="s">
        <v>1064</v>
      </c>
      <c r="G54" s="238">
        <v>93510</v>
      </c>
      <c r="H54" s="238"/>
      <c r="I54" s="238">
        <f t="shared" si="14"/>
        <v>93510</v>
      </c>
      <c r="J54" s="238">
        <v>0</v>
      </c>
      <c r="K54" s="238">
        <f t="shared" si="15"/>
        <v>93510</v>
      </c>
      <c r="L54" s="238">
        <v>0</v>
      </c>
      <c r="M54" s="238">
        <v>0</v>
      </c>
      <c r="N54" s="238">
        <v>0</v>
      </c>
      <c r="O54" s="336"/>
      <c r="P54" s="336"/>
      <c r="Q54" s="336"/>
      <c r="R54" s="336"/>
      <c r="S54" s="336"/>
      <c r="T54" s="336"/>
      <c r="U54" s="336"/>
    </row>
    <row r="55" spans="1:170" s="242" customFormat="1" ht="18" customHeight="1" x14ac:dyDescent="0.25">
      <c r="A55" s="243" t="s">
        <v>201</v>
      </c>
      <c r="B55" s="808" t="s">
        <v>211</v>
      </c>
      <c r="C55" s="809" t="s">
        <v>313</v>
      </c>
      <c r="D55" s="244" t="s">
        <v>1057</v>
      </c>
      <c r="E55" s="246" t="s">
        <v>1081</v>
      </c>
      <c r="F55" s="636" t="s">
        <v>1064</v>
      </c>
      <c r="G55" s="238">
        <v>1400000</v>
      </c>
      <c r="H55" s="238">
        <f>508307.66+15600</f>
        <v>523907.66</v>
      </c>
      <c r="I55" s="238">
        <f t="shared" si="14"/>
        <v>876092.34000000008</v>
      </c>
      <c r="J55" s="238">
        <v>0</v>
      </c>
      <c r="K55" s="238">
        <f t="shared" si="15"/>
        <v>1400000</v>
      </c>
      <c r="L55" s="238">
        <f>1200000+200000</f>
        <v>1400000</v>
      </c>
      <c r="M55" s="238">
        <f>L55*1.044</f>
        <v>1461600</v>
      </c>
      <c r="N55" s="238">
        <f>M55*1.045</f>
        <v>1527372</v>
      </c>
      <c r="O55" s="336"/>
      <c r="P55" s="336"/>
      <c r="Q55" s="336"/>
      <c r="R55" s="336"/>
      <c r="S55" s="336"/>
      <c r="T55" s="336"/>
      <c r="U55" s="336"/>
    </row>
    <row r="56" spans="1:170" s="242" customFormat="1" ht="18" customHeight="1" x14ac:dyDescent="0.25">
      <c r="A56" s="243" t="s">
        <v>350</v>
      </c>
      <c r="B56" s="808" t="s">
        <v>572</v>
      </c>
      <c r="C56" s="799" t="s">
        <v>313</v>
      </c>
      <c r="D56" s="799" t="s">
        <v>1047</v>
      </c>
      <c r="E56" s="636" t="s">
        <v>1073</v>
      </c>
      <c r="F56" s="636" t="s">
        <v>1064</v>
      </c>
      <c r="G56" s="238">
        <v>1559</v>
      </c>
      <c r="H56" s="238"/>
      <c r="I56" s="238">
        <f t="shared" si="14"/>
        <v>1559</v>
      </c>
      <c r="J56" s="238">
        <v>0</v>
      </c>
      <c r="K56" s="238">
        <f t="shared" si="15"/>
        <v>1559</v>
      </c>
      <c r="L56" s="238">
        <f>K56*1.048</f>
        <v>1633.8320000000001</v>
      </c>
      <c r="M56" s="238">
        <f>L56*1.044</f>
        <v>1705.7206080000001</v>
      </c>
      <c r="N56" s="238">
        <f>M56*1.045</f>
        <v>1782.4780353599999</v>
      </c>
      <c r="O56" s="336"/>
      <c r="P56" s="336"/>
      <c r="Q56" s="336"/>
      <c r="R56" s="336"/>
      <c r="S56" s="336"/>
      <c r="T56" s="336"/>
      <c r="U56" s="336"/>
    </row>
    <row r="57" spans="1:170" s="242" customFormat="1" ht="18" customHeight="1" x14ac:dyDescent="0.25">
      <c r="A57" s="243"/>
      <c r="B57" s="808" t="s">
        <v>199</v>
      </c>
      <c r="C57" s="799" t="s">
        <v>313</v>
      </c>
      <c r="D57" s="799" t="s">
        <v>1057</v>
      </c>
      <c r="E57" s="810" t="s">
        <v>1066</v>
      </c>
      <c r="F57" s="636" t="s">
        <v>1064</v>
      </c>
      <c r="G57" s="238">
        <v>618892</v>
      </c>
      <c r="H57" s="238">
        <v>565200</v>
      </c>
      <c r="I57" s="238">
        <f t="shared" si="14"/>
        <v>53692</v>
      </c>
      <c r="J57" s="238">
        <v>400000</v>
      </c>
      <c r="K57" s="238">
        <f t="shared" si="15"/>
        <v>1018892</v>
      </c>
      <c r="L57" s="238">
        <f>900000-70000</f>
        <v>830000</v>
      </c>
      <c r="M57" s="238">
        <f>L57*1.044</f>
        <v>866520</v>
      </c>
      <c r="N57" s="238">
        <v>803865</v>
      </c>
      <c r="O57" s="336"/>
      <c r="P57" s="336"/>
      <c r="Q57" s="336"/>
      <c r="R57" s="336"/>
      <c r="S57" s="336"/>
      <c r="T57" s="336"/>
      <c r="U57" s="336"/>
    </row>
    <row r="58" spans="1:170" s="242" customFormat="1" ht="18" customHeight="1" x14ac:dyDescent="0.25">
      <c r="A58" s="243" t="s">
        <v>202</v>
      </c>
      <c r="B58" s="808" t="s">
        <v>213</v>
      </c>
      <c r="C58" s="799" t="s">
        <v>313</v>
      </c>
      <c r="D58" s="799" t="s">
        <v>1047</v>
      </c>
      <c r="E58" s="636" t="s">
        <v>1082</v>
      </c>
      <c r="F58" s="636" t="s">
        <v>1064</v>
      </c>
      <c r="G58" s="238">
        <v>0</v>
      </c>
      <c r="H58" s="238"/>
      <c r="I58" s="238">
        <f t="shared" si="14"/>
        <v>0</v>
      </c>
      <c r="J58" s="238">
        <v>500000</v>
      </c>
      <c r="K58" s="238">
        <f t="shared" si="15"/>
        <v>500000</v>
      </c>
      <c r="L58" s="238">
        <v>800000</v>
      </c>
      <c r="M58" s="238">
        <f>L58*1.044</f>
        <v>835200</v>
      </c>
      <c r="N58" s="238">
        <f>M58*1.045</f>
        <v>872783.99999999988</v>
      </c>
      <c r="O58" s="336"/>
      <c r="P58" s="336"/>
      <c r="Q58" s="336"/>
      <c r="R58" s="336"/>
      <c r="S58" s="336"/>
      <c r="T58" s="336"/>
      <c r="U58" s="336"/>
    </row>
    <row r="59" spans="1:170" s="242" customFormat="1" ht="18" customHeight="1" x14ac:dyDescent="0.25">
      <c r="A59" s="243" t="s">
        <v>204</v>
      </c>
      <c r="B59" s="808" t="s">
        <v>197</v>
      </c>
      <c r="C59" s="799" t="s">
        <v>313</v>
      </c>
      <c r="D59" s="799" t="s">
        <v>1057</v>
      </c>
      <c r="E59" s="810" t="s">
        <v>1063</v>
      </c>
      <c r="F59" s="636" t="s">
        <v>1064</v>
      </c>
      <c r="G59" s="238"/>
      <c r="H59" s="238">
        <v>6557.64</v>
      </c>
      <c r="I59" s="238">
        <f t="shared" si="14"/>
        <v>-6557.64</v>
      </c>
      <c r="J59" s="238">
        <v>350000</v>
      </c>
      <c r="K59" s="238">
        <f t="shared" si="15"/>
        <v>350000</v>
      </c>
      <c r="L59" s="238">
        <f>150000-20000</f>
        <v>130000</v>
      </c>
      <c r="M59" s="238">
        <f>L59*1.044</f>
        <v>135720</v>
      </c>
      <c r="N59" s="238">
        <f>M59*1.045</f>
        <v>141827.4</v>
      </c>
      <c r="O59" s="336"/>
      <c r="P59" s="336"/>
      <c r="Q59" s="336"/>
      <c r="R59" s="336"/>
      <c r="S59" s="336"/>
      <c r="T59" s="336"/>
      <c r="U59" s="336"/>
    </row>
    <row r="60" spans="1:170" s="242" customFormat="1" ht="18" customHeight="1" x14ac:dyDescent="0.25">
      <c r="A60" s="243" t="s">
        <v>206</v>
      </c>
      <c r="B60" s="808" t="s">
        <v>942</v>
      </c>
      <c r="C60" s="799" t="s">
        <v>313</v>
      </c>
      <c r="D60" s="799" t="s">
        <v>1072</v>
      </c>
      <c r="E60" s="636" t="s">
        <v>1151</v>
      </c>
      <c r="F60" s="636" t="s">
        <v>1064</v>
      </c>
      <c r="G60" s="238">
        <v>0</v>
      </c>
      <c r="H60" s="238"/>
      <c r="I60" s="238">
        <f t="shared" si="14"/>
        <v>0</v>
      </c>
      <c r="J60" s="238">
        <v>0</v>
      </c>
      <c r="K60" s="238">
        <f t="shared" si="15"/>
        <v>0</v>
      </c>
      <c r="L60" s="238">
        <v>0</v>
      </c>
      <c r="M60" s="238">
        <v>0</v>
      </c>
      <c r="N60" s="238">
        <v>0</v>
      </c>
      <c r="O60" s="336"/>
      <c r="P60" s="336"/>
      <c r="Q60" s="336"/>
      <c r="R60" s="336"/>
      <c r="S60" s="336"/>
      <c r="T60" s="336"/>
      <c r="U60" s="336"/>
    </row>
    <row r="61" spans="1:170" s="242" customFormat="1" ht="18" customHeight="1" x14ac:dyDescent="0.25">
      <c r="A61" s="243" t="s">
        <v>208</v>
      </c>
      <c r="B61" s="808" t="s">
        <v>628</v>
      </c>
      <c r="C61" s="799" t="s">
        <v>313</v>
      </c>
      <c r="D61" s="799" t="s">
        <v>1057</v>
      </c>
      <c r="E61" s="810" t="s">
        <v>1091</v>
      </c>
      <c r="F61" s="636" t="s">
        <v>1064</v>
      </c>
      <c r="G61" s="238">
        <f>4883391*1.039</f>
        <v>5073843.2489999998</v>
      </c>
      <c r="H61" s="238"/>
      <c r="I61" s="238">
        <f t="shared" si="14"/>
        <v>5073843.2489999998</v>
      </c>
      <c r="J61" s="238">
        <v>0</v>
      </c>
      <c r="K61" s="238">
        <f t="shared" si="15"/>
        <v>5073843.2489999998</v>
      </c>
      <c r="L61" s="238">
        <f>5268479*1.048</f>
        <v>5521365.9920000006</v>
      </c>
      <c r="M61" s="238">
        <f>L61*1.044</f>
        <v>5764306.0956480009</v>
      </c>
      <c r="N61" s="238">
        <f>M61*1.045</f>
        <v>6023699.8699521609</v>
      </c>
      <c r="O61" s="336"/>
      <c r="P61" s="336"/>
      <c r="Q61" s="831"/>
      <c r="R61" s="336"/>
      <c r="S61" s="336"/>
      <c r="T61" s="336"/>
      <c r="U61" s="336"/>
    </row>
    <row r="62" spans="1:170" s="242" customFormat="1" ht="18" customHeight="1" x14ac:dyDescent="0.25">
      <c r="A62" s="243" t="s">
        <v>210</v>
      </c>
      <c r="B62" s="811" t="s">
        <v>5</v>
      </c>
      <c r="C62" s="587" t="s">
        <v>313</v>
      </c>
      <c r="D62" s="587" t="s">
        <v>1047</v>
      </c>
      <c r="E62" s="377" t="s">
        <v>1067</v>
      </c>
      <c r="F62" s="377" t="s">
        <v>1064</v>
      </c>
      <c r="G62" s="238">
        <f>G28*1/100</f>
        <v>141666.64850000001</v>
      </c>
      <c r="H62" s="238">
        <f t="shared" ref="H62:N62" si="16">H28*1/100</f>
        <v>72479.066200000016</v>
      </c>
      <c r="I62" s="238">
        <f t="shared" si="16"/>
        <v>69187.58229999998</v>
      </c>
      <c r="J62" s="238">
        <f t="shared" si="16"/>
        <v>15062.281638300004</v>
      </c>
      <c r="K62" s="238">
        <f t="shared" si="16"/>
        <v>156728.9301383</v>
      </c>
      <c r="L62" s="238">
        <f t="shared" si="16"/>
        <v>164793.76831999997</v>
      </c>
      <c r="M62" s="238">
        <f t="shared" si="16"/>
        <v>158895.62864424</v>
      </c>
      <c r="N62" s="238">
        <f t="shared" si="16"/>
        <v>222664.81425083082</v>
      </c>
      <c r="O62" s="336"/>
      <c r="P62" s="832"/>
      <c r="Q62" s="240"/>
      <c r="R62" s="336"/>
      <c r="S62" s="336"/>
      <c r="T62" s="336"/>
      <c r="U62" s="336"/>
    </row>
    <row r="63" spans="1:170" s="242" customFormat="1" ht="18" customHeight="1" x14ac:dyDescent="0.25">
      <c r="A63" s="243" t="s">
        <v>212</v>
      </c>
      <c r="B63" s="808" t="s">
        <v>209</v>
      </c>
      <c r="C63" s="799" t="s">
        <v>313</v>
      </c>
      <c r="D63" s="799" t="s">
        <v>1072</v>
      </c>
      <c r="E63" s="636" t="s">
        <v>1080</v>
      </c>
      <c r="F63" s="636" t="s">
        <v>1064</v>
      </c>
      <c r="G63" s="238"/>
      <c r="H63" s="238"/>
      <c r="I63" s="238">
        <f t="shared" si="14"/>
        <v>0</v>
      </c>
      <c r="J63" s="238">
        <v>0</v>
      </c>
      <c r="K63" s="238">
        <f t="shared" si="15"/>
        <v>0</v>
      </c>
      <c r="L63" s="238">
        <v>0</v>
      </c>
      <c r="M63" s="238">
        <v>0</v>
      </c>
      <c r="N63" s="238">
        <f t="shared" ref="N63:N71" si="17">M63*1.045</f>
        <v>0</v>
      </c>
      <c r="O63" s="336"/>
      <c r="P63" s="336"/>
      <c r="Q63" s="336"/>
      <c r="R63" s="336"/>
      <c r="S63" s="336"/>
      <c r="T63" s="336"/>
      <c r="U63" s="336"/>
    </row>
    <row r="64" spans="1:170" s="242" customFormat="1" ht="18" customHeight="1" x14ac:dyDescent="0.25">
      <c r="A64" s="243" t="s">
        <v>214</v>
      </c>
      <c r="B64" s="808" t="s">
        <v>217</v>
      </c>
      <c r="C64" s="799" t="s">
        <v>313</v>
      </c>
      <c r="D64" s="799" t="s">
        <v>1047</v>
      </c>
      <c r="E64" s="636" t="s">
        <v>1084</v>
      </c>
      <c r="F64" s="636" t="s">
        <v>1064</v>
      </c>
      <c r="G64" s="238">
        <v>477619</v>
      </c>
      <c r="H64" s="238">
        <f>292896.9-128235.23</f>
        <v>164661.67000000004</v>
      </c>
      <c r="I64" s="238">
        <f t="shared" si="14"/>
        <v>312957.32999999996</v>
      </c>
      <c r="J64" s="238">
        <v>108175</v>
      </c>
      <c r="K64" s="238">
        <f t="shared" si="15"/>
        <v>585794</v>
      </c>
      <c r="L64" s="238">
        <f>K64*1.048-22980</f>
        <v>590932.11200000008</v>
      </c>
      <c r="M64" s="238">
        <v>460000</v>
      </c>
      <c r="N64" s="238">
        <f t="shared" si="17"/>
        <v>480699.99999999994</v>
      </c>
      <c r="O64" s="336"/>
      <c r="P64" s="336"/>
      <c r="Q64" s="336"/>
      <c r="R64" s="336"/>
      <c r="S64" s="336"/>
      <c r="T64" s="336"/>
      <c r="U64" s="336"/>
    </row>
    <row r="65" spans="1:21" s="242" customFormat="1" ht="18" customHeight="1" x14ac:dyDescent="0.25">
      <c r="A65" s="243" t="s">
        <v>216</v>
      </c>
      <c r="B65" s="808" t="s">
        <v>226</v>
      </c>
      <c r="C65" s="799" t="s">
        <v>313</v>
      </c>
      <c r="D65" s="799" t="s">
        <v>1057</v>
      </c>
      <c r="E65" s="636" t="s">
        <v>1086</v>
      </c>
      <c r="F65" s="636" t="s">
        <v>1064</v>
      </c>
      <c r="G65" s="238">
        <v>66300</v>
      </c>
      <c r="H65" s="238">
        <v>6410</v>
      </c>
      <c r="I65" s="238">
        <f t="shared" si="14"/>
        <v>59890</v>
      </c>
      <c r="J65" s="238">
        <v>0</v>
      </c>
      <c r="K65" s="238">
        <f t="shared" si="15"/>
        <v>66300</v>
      </c>
      <c r="L65" s="238">
        <f>100000-3000-49500</f>
        <v>47500</v>
      </c>
      <c r="M65" s="238">
        <f>L65*1.044</f>
        <v>49590</v>
      </c>
      <c r="N65" s="238">
        <f t="shared" si="17"/>
        <v>51821.549999999996</v>
      </c>
      <c r="O65" s="336"/>
      <c r="P65" s="336"/>
      <c r="Q65" s="336"/>
      <c r="R65" s="336"/>
      <c r="S65" s="336"/>
      <c r="T65" s="336"/>
      <c r="U65" s="336"/>
    </row>
    <row r="66" spans="1:21" s="242" customFormat="1" ht="18" customHeight="1" x14ac:dyDescent="0.25">
      <c r="A66" s="243" t="s">
        <v>218</v>
      </c>
      <c r="B66" s="808" t="s">
        <v>21</v>
      </c>
      <c r="C66" s="799" t="s">
        <v>313</v>
      </c>
      <c r="D66" s="799" t="s">
        <v>1057</v>
      </c>
      <c r="E66" s="636" t="s">
        <v>1087</v>
      </c>
      <c r="F66" s="636" t="s">
        <v>1064</v>
      </c>
      <c r="G66" s="238">
        <v>60262</v>
      </c>
      <c r="H66" s="238">
        <v>278</v>
      </c>
      <c r="I66" s="238">
        <f t="shared" si="14"/>
        <v>59984</v>
      </c>
      <c r="J66" s="238">
        <v>0</v>
      </c>
      <c r="K66" s="238">
        <f t="shared" si="15"/>
        <v>60262</v>
      </c>
      <c r="L66" s="238">
        <f>80000-16900-1000</f>
        <v>62100</v>
      </c>
      <c r="M66" s="238">
        <f>L66*1.044</f>
        <v>64832.4</v>
      </c>
      <c r="N66" s="238">
        <f t="shared" si="17"/>
        <v>67749.857999999993</v>
      </c>
      <c r="O66" s="336"/>
      <c r="P66" s="336"/>
      <c r="Q66" s="336"/>
      <c r="R66" s="336"/>
      <c r="S66" s="336"/>
      <c r="T66" s="336"/>
      <c r="U66" s="336"/>
    </row>
    <row r="67" spans="1:21" s="242" customFormat="1" ht="18" customHeight="1" x14ac:dyDescent="0.25">
      <c r="A67" s="243" t="s">
        <v>225</v>
      </c>
      <c r="B67" s="808" t="s">
        <v>23</v>
      </c>
      <c r="C67" s="799" t="s">
        <v>313</v>
      </c>
      <c r="D67" s="799" t="s">
        <v>1057</v>
      </c>
      <c r="E67" s="636" t="s">
        <v>1088</v>
      </c>
      <c r="F67" s="636" t="s">
        <v>1064</v>
      </c>
      <c r="G67" s="238">
        <v>3293</v>
      </c>
      <c r="H67" s="238">
        <v>278</v>
      </c>
      <c r="I67" s="238">
        <f t="shared" si="14"/>
        <v>3015</v>
      </c>
      <c r="J67" s="238">
        <v>2500</v>
      </c>
      <c r="K67" s="238">
        <f t="shared" si="15"/>
        <v>5793</v>
      </c>
      <c r="L67" s="238">
        <v>8000</v>
      </c>
      <c r="M67" s="238">
        <f>L67*1.044</f>
        <v>8352</v>
      </c>
      <c r="N67" s="238">
        <f t="shared" si="17"/>
        <v>8727.84</v>
      </c>
      <c r="O67" s="336"/>
      <c r="P67" s="336"/>
      <c r="Q67" s="336"/>
      <c r="R67" s="336"/>
      <c r="S67" s="336"/>
      <c r="T67" s="336"/>
      <c r="U67" s="336"/>
    </row>
    <row r="68" spans="1:21" s="242" customFormat="1" ht="18" customHeight="1" x14ac:dyDescent="0.25">
      <c r="A68" s="243" t="s">
        <v>227</v>
      </c>
      <c r="B68" s="808" t="s">
        <v>50</v>
      </c>
      <c r="C68" s="799" t="s">
        <v>313</v>
      </c>
      <c r="D68" s="799" t="s">
        <v>1057</v>
      </c>
      <c r="E68" s="636" t="s">
        <v>1089</v>
      </c>
      <c r="F68" s="636" t="s">
        <v>1064</v>
      </c>
      <c r="G68" s="238">
        <v>0</v>
      </c>
      <c r="H68" s="238">
        <v>0</v>
      </c>
      <c r="I68" s="238">
        <f t="shared" si="14"/>
        <v>0</v>
      </c>
      <c r="J68" s="238">
        <v>0</v>
      </c>
      <c r="K68" s="238">
        <f t="shared" si="15"/>
        <v>0</v>
      </c>
      <c r="L68" s="238">
        <v>0</v>
      </c>
      <c r="M68" s="238">
        <v>0</v>
      </c>
      <c r="N68" s="238">
        <f t="shared" si="17"/>
        <v>0</v>
      </c>
      <c r="O68" s="336"/>
      <c r="P68" s="336"/>
      <c r="Q68" s="336"/>
      <c r="R68" s="336"/>
      <c r="S68" s="336"/>
      <c r="T68" s="336"/>
      <c r="U68" s="336"/>
    </row>
    <row r="69" spans="1:21" s="242" customFormat="1" ht="18" customHeight="1" x14ac:dyDescent="0.25">
      <c r="A69" s="243" t="s">
        <v>228</v>
      </c>
      <c r="B69" s="808" t="s">
        <v>219</v>
      </c>
      <c r="C69" s="799" t="s">
        <v>313</v>
      </c>
      <c r="D69" s="799" t="s">
        <v>1057</v>
      </c>
      <c r="E69" s="636" t="s">
        <v>1085</v>
      </c>
      <c r="F69" s="636" t="s">
        <v>1064</v>
      </c>
      <c r="G69" s="238">
        <v>18460</v>
      </c>
      <c r="H69" s="238">
        <v>9598.5</v>
      </c>
      <c r="I69" s="238">
        <f t="shared" si="14"/>
        <v>8861.5</v>
      </c>
      <c r="J69" s="238">
        <v>10000</v>
      </c>
      <c r="K69" s="238">
        <f t="shared" si="15"/>
        <v>28460</v>
      </c>
      <c r="L69" s="238">
        <f>35000-12700</f>
        <v>22300</v>
      </c>
      <c r="M69" s="238">
        <f>L69*1.044</f>
        <v>23281.200000000001</v>
      </c>
      <c r="N69" s="238">
        <f t="shared" si="17"/>
        <v>24328.853999999999</v>
      </c>
      <c r="O69" s="336"/>
      <c r="P69" s="336"/>
      <c r="Q69" s="336"/>
      <c r="R69" s="336"/>
      <c r="S69" s="336"/>
      <c r="T69" s="336"/>
      <c r="U69" s="336"/>
    </row>
    <row r="70" spans="1:21" s="242" customFormat="1" ht="18" customHeight="1" x14ac:dyDescent="0.25">
      <c r="A70" s="243" t="s">
        <v>351</v>
      </c>
      <c r="B70" s="808" t="s">
        <v>62</v>
      </c>
      <c r="C70" s="799" t="s">
        <v>313</v>
      </c>
      <c r="D70" s="799" t="s">
        <v>1057</v>
      </c>
      <c r="E70" s="636" t="s">
        <v>1090</v>
      </c>
      <c r="F70" s="636" t="s">
        <v>1064</v>
      </c>
      <c r="G70" s="238">
        <v>5299</v>
      </c>
      <c r="H70" s="238">
        <v>3130.2</v>
      </c>
      <c r="I70" s="238">
        <f t="shared" si="14"/>
        <v>2168.8000000000002</v>
      </c>
      <c r="J70" s="238">
        <v>1200</v>
      </c>
      <c r="K70" s="238">
        <f t="shared" si="15"/>
        <v>6499</v>
      </c>
      <c r="L70" s="238">
        <f>25000-16750</f>
        <v>8250</v>
      </c>
      <c r="M70" s="238">
        <f>L70*1.044</f>
        <v>8613</v>
      </c>
      <c r="N70" s="238">
        <f t="shared" si="17"/>
        <v>9000.5849999999991</v>
      </c>
      <c r="O70" s="336"/>
      <c r="P70" s="336"/>
      <c r="Q70" s="336"/>
      <c r="R70" s="336"/>
      <c r="S70" s="336"/>
      <c r="T70" s="336"/>
      <c r="U70" s="336"/>
    </row>
    <row r="71" spans="1:21" s="242" customFormat="1" ht="18" customHeight="1" x14ac:dyDescent="0.25">
      <c r="A71" s="243" t="s">
        <v>231</v>
      </c>
      <c r="B71" s="232" t="s">
        <v>7</v>
      </c>
      <c r="C71" s="376" t="s">
        <v>313</v>
      </c>
      <c r="D71" s="799" t="s">
        <v>1057</v>
      </c>
      <c r="E71" s="571" t="s">
        <v>1076</v>
      </c>
      <c r="F71" s="244" t="s">
        <v>1064</v>
      </c>
      <c r="G71" s="238">
        <v>3476</v>
      </c>
      <c r="H71" s="238"/>
      <c r="I71" s="238">
        <f t="shared" si="14"/>
        <v>3476</v>
      </c>
      <c r="J71" s="238">
        <v>0</v>
      </c>
      <c r="K71" s="238">
        <f t="shared" si="15"/>
        <v>3476</v>
      </c>
      <c r="L71" s="238">
        <f>K71*1.048</f>
        <v>3642.848</v>
      </c>
      <c r="M71" s="238">
        <f>L71*1.044</f>
        <v>3803.1333119999999</v>
      </c>
      <c r="N71" s="238">
        <f t="shared" si="17"/>
        <v>3974.2743110399997</v>
      </c>
      <c r="O71" s="336"/>
      <c r="P71" s="336"/>
      <c r="Q71" s="336"/>
      <c r="R71" s="336"/>
      <c r="S71" s="336"/>
      <c r="T71" s="336"/>
      <c r="U71" s="336"/>
    </row>
    <row r="72" spans="1:21" s="242" customFormat="1" ht="18" customHeight="1" x14ac:dyDescent="0.25">
      <c r="A72" s="324"/>
      <c r="B72" s="232" t="s">
        <v>335</v>
      </c>
      <c r="C72" s="376" t="s">
        <v>313</v>
      </c>
      <c r="D72" s="376" t="s">
        <v>1072</v>
      </c>
      <c r="E72" s="571" t="s">
        <v>1077</v>
      </c>
      <c r="F72" s="244"/>
      <c r="G72" s="238">
        <v>95000</v>
      </c>
      <c r="H72" s="238"/>
      <c r="I72" s="238">
        <f t="shared" si="14"/>
        <v>95000</v>
      </c>
      <c r="J72" s="238">
        <v>0</v>
      </c>
      <c r="K72" s="238">
        <f t="shared" si="15"/>
        <v>95000</v>
      </c>
      <c r="L72" s="237">
        <f>150000-74-35980-69800</f>
        <v>44146</v>
      </c>
      <c r="M72" s="238">
        <v>50000</v>
      </c>
      <c r="N72" s="238">
        <v>50000</v>
      </c>
      <c r="O72" s="336"/>
      <c r="P72" s="336"/>
      <c r="Q72" s="336"/>
      <c r="R72" s="336"/>
      <c r="S72" s="336"/>
      <c r="T72" s="336"/>
      <c r="U72" s="336"/>
    </row>
    <row r="73" spans="1:21" s="242" customFormat="1" ht="18" customHeight="1" x14ac:dyDescent="0.25">
      <c r="A73" s="232"/>
      <c r="B73" s="232" t="s">
        <v>929</v>
      </c>
      <c r="C73" s="376" t="s">
        <v>313</v>
      </c>
      <c r="D73" s="376" t="s">
        <v>1047</v>
      </c>
      <c r="E73" s="571" t="s">
        <v>1065</v>
      </c>
      <c r="F73" s="245" t="s">
        <v>1064</v>
      </c>
      <c r="G73" s="833">
        <v>1200000</v>
      </c>
      <c r="H73" s="833"/>
      <c r="I73" s="833">
        <f t="shared" si="14"/>
        <v>1200000</v>
      </c>
      <c r="J73" s="833">
        <v>-400000</v>
      </c>
      <c r="K73" s="833">
        <f t="shared" si="15"/>
        <v>800000</v>
      </c>
      <c r="L73" s="237">
        <f>1080000-182900-50000</f>
        <v>847100</v>
      </c>
      <c r="M73" s="238">
        <v>800000</v>
      </c>
      <c r="N73" s="238">
        <v>600000</v>
      </c>
      <c r="O73" s="336"/>
      <c r="P73" s="336"/>
      <c r="Q73" s="336"/>
      <c r="R73" s="336"/>
      <c r="S73" s="336"/>
      <c r="T73" s="336"/>
      <c r="U73" s="336"/>
    </row>
    <row r="74" spans="1:21" s="242" customFormat="1" ht="18" customHeight="1" x14ac:dyDescent="0.25">
      <c r="A74" s="232"/>
      <c r="B74" s="232" t="s">
        <v>887</v>
      </c>
      <c r="C74" s="376" t="s">
        <v>313</v>
      </c>
      <c r="D74" s="376" t="s">
        <v>1099</v>
      </c>
      <c r="E74" s="571" t="s">
        <v>1078</v>
      </c>
      <c r="F74" s="244"/>
      <c r="G74" s="238">
        <v>689046</v>
      </c>
      <c r="H74" s="238"/>
      <c r="I74" s="238">
        <f t="shared" si="14"/>
        <v>689046</v>
      </c>
      <c r="J74" s="238">
        <v>0</v>
      </c>
      <c r="K74" s="238">
        <f t="shared" si="15"/>
        <v>689046</v>
      </c>
      <c r="L74" s="237">
        <f>K74*1.048</f>
        <v>722120.20799999998</v>
      </c>
      <c r="M74" s="238">
        <f>L74*1.044</f>
        <v>753893.49715199997</v>
      </c>
      <c r="N74" s="238">
        <f>M74*1.045</f>
        <v>787818.70452383987</v>
      </c>
      <c r="O74" s="336"/>
      <c r="P74" s="336"/>
      <c r="Q74" s="336"/>
      <c r="R74" s="336"/>
      <c r="S74" s="336"/>
      <c r="T74" s="336"/>
      <c r="U74" s="336"/>
    </row>
    <row r="75" spans="1:21" s="242" customFormat="1" x14ac:dyDescent="0.25">
      <c r="A75" s="747"/>
      <c r="C75" s="444"/>
      <c r="D75" s="812"/>
      <c r="E75" s="813"/>
      <c r="F75" s="812"/>
      <c r="G75" s="497">
        <f t="shared" ref="G75:N75" si="18">SUM(G42:G74)</f>
        <v>12630455.897499999</v>
      </c>
      <c r="H75" s="497">
        <f t="shared" si="18"/>
        <v>2793972.8362000003</v>
      </c>
      <c r="I75" s="497">
        <f t="shared" si="18"/>
        <v>9836483.0612999983</v>
      </c>
      <c r="J75" s="497">
        <f t="shared" si="18"/>
        <v>1235837.2816383</v>
      </c>
      <c r="K75" s="497">
        <f t="shared" si="18"/>
        <v>13866293.179138299</v>
      </c>
      <c r="L75" s="497">
        <f t="shared" si="18"/>
        <v>13857541.616319999</v>
      </c>
      <c r="M75" s="497">
        <f t="shared" si="18"/>
        <v>13647432.675364241</v>
      </c>
      <c r="N75" s="497">
        <f t="shared" si="18"/>
        <v>13955787.628073232</v>
      </c>
      <c r="O75" s="336"/>
      <c r="P75" s="336"/>
      <c r="Q75" s="336"/>
      <c r="R75" s="336"/>
      <c r="S75" s="336"/>
      <c r="T75" s="336"/>
      <c r="U75" s="336"/>
    </row>
    <row r="76" spans="1:21" s="242" customFormat="1" x14ac:dyDescent="0.25">
      <c r="C76" s="746"/>
      <c r="D76" s="746"/>
      <c r="E76" s="814"/>
      <c r="F76" s="746"/>
      <c r="G76" s="336"/>
      <c r="H76" s="336"/>
      <c r="I76" s="336"/>
      <c r="J76" s="336"/>
      <c r="K76" s="336"/>
      <c r="L76" s="418"/>
      <c r="M76" s="502"/>
      <c r="N76" s="336"/>
      <c r="O76" s="336"/>
      <c r="P76" s="336"/>
      <c r="Q76" s="336"/>
      <c r="R76" s="336"/>
      <c r="S76" s="336"/>
      <c r="T76" s="336"/>
      <c r="U76" s="336"/>
    </row>
    <row r="77" spans="1:21" s="242" customFormat="1" ht="16.5" thickBot="1" x14ac:dyDescent="0.3">
      <c r="C77" s="755"/>
      <c r="D77" s="755"/>
      <c r="E77" s="815"/>
      <c r="F77" s="755"/>
      <c r="G77" s="354">
        <f t="shared" ref="G77:N77" si="19">G28+G39+G75</f>
        <v>27961356.101499997</v>
      </c>
      <c r="H77" s="354">
        <f t="shared" si="19"/>
        <v>10653294.716200002</v>
      </c>
      <c r="I77" s="354">
        <f t="shared" si="19"/>
        <v>17308061.385299996</v>
      </c>
      <c r="J77" s="354">
        <f t="shared" si="19"/>
        <v>2921726.4454683005</v>
      </c>
      <c r="K77" s="354">
        <f t="shared" si="19"/>
        <v>30883082.546968296</v>
      </c>
      <c r="L77" s="354">
        <f t="shared" si="19"/>
        <v>31745321.827311996</v>
      </c>
      <c r="M77" s="354">
        <f t="shared" si="19"/>
        <v>31007368.667455889</v>
      </c>
      <c r="N77" s="354">
        <f t="shared" si="19"/>
        <v>37758808.971569009</v>
      </c>
      <c r="O77" s="336"/>
      <c r="P77" s="336"/>
      <c r="Q77" s="336"/>
      <c r="R77" s="336"/>
      <c r="S77" s="336"/>
      <c r="T77" s="336"/>
      <c r="U77" s="336"/>
    </row>
    <row r="78" spans="1:21" s="242" customFormat="1" x14ac:dyDescent="0.25">
      <c r="C78" s="746"/>
      <c r="D78" s="746"/>
      <c r="E78" s="814"/>
      <c r="F78" s="74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</row>
    <row r="79" spans="1:21" s="242" customFormat="1" x14ac:dyDescent="0.25">
      <c r="B79" s="746" t="s">
        <v>1280</v>
      </c>
      <c r="C79" s="746"/>
      <c r="D79" s="746"/>
      <c r="E79" s="814"/>
      <c r="F79" s="74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6"/>
      <c r="R79" s="336"/>
      <c r="S79" s="336"/>
      <c r="T79" s="336"/>
      <c r="U79" s="336"/>
    </row>
    <row r="80" spans="1:21" s="242" customFormat="1" x14ac:dyDescent="0.25">
      <c r="A80" s="242" t="s">
        <v>242</v>
      </c>
      <c r="B80" s="242" t="s">
        <v>126</v>
      </c>
      <c r="C80" s="750"/>
      <c r="D80" s="750"/>
      <c r="E80" s="816"/>
      <c r="F80" s="752"/>
      <c r="G80" s="344">
        <v>271439</v>
      </c>
      <c r="H80" s="342">
        <f>1191589.59-708787.13-47900+15600</f>
        <v>450502.46000000008</v>
      </c>
      <c r="I80" s="344">
        <f>G80-H80</f>
        <v>-179063.46000000008</v>
      </c>
      <c r="J80" s="359">
        <v>400000</v>
      </c>
      <c r="K80" s="344">
        <f>SUM(G80+J80)</f>
        <v>671439</v>
      </c>
      <c r="L80" s="342">
        <f>300000+500000</f>
        <v>800000</v>
      </c>
      <c r="M80" s="344">
        <v>200000</v>
      </c>
      <c r="N80" s="344">
        <v>0</v>
      </c>
      <c r="O80" s="336"/>
      <c r="P80" s="336"/>
      <c r="Q80" s="336"/>
      <c r="R80" s="336"/>
      <c r="S80" s="336"/>
      <c r="T80" s="336"/>
      <c r="U80" s="336"/>
    </row>
    <row r="81" spans="2:21" s="242" customFormat="1" x14ac:dyDescent="0.25">
      <c r="B81" s="242" t="s">
        <v>1211</v>
      </c>
      <c r="C81" s="441"/>
      <c r="D81" s="441"/>
      <c r="E81" s="817"/>
      <c r="F81" s="704"/>
      <c r="G81" s="238"/>
      <c r="H81" s="239"/>
      <c r="I81" s="238"/>
      <c r="J81" s="325"/>
      <c r="K81" s="238"/>
      <c r="L81" s="239">
        <f>2500000-2000000</f>
        <v>500000</v>
      </c>
      <c r="M81" s="238">
        <v>0</v>
      </c>
      <c r="N81" s="238">
        <v>0</v>
      </c>
      <c r="O81" s="336"/>
      <c r="P81" s="336"/>
      <c r="Q81" s="336"/>
      <c r="R81" s="336"/>
      <c r="S81" s="336"/>
      <c r="T81" s="336"/>
      <c r="U81" s="336"/>
    </row>
    <row r="82" spans="2:21" s="242" customFormat="1" x14ac:dyDescent="0.25">
      <c r="B82" s="242" t="s">
        <v>993</v>
      </c>
      <c r="C82" s="441"/>
      <c r="D82" s="441"/>
      <c r="E82" s="817"/>
      <c r="F82" s="704"/>
      <c r="G82" s="238">
        <v>1000000</v>
      </c>
      <c r="H82" s="239">
        <v>708787.13</v>
      </c>
      <c r="I82" s="238">
        <f t="shared" ref="I82:I86" si="20">G82-H82</f>
        <v>291212.87</v>
      </c>
      <c r="J82" s="325">
        <v>-291213</v>
      </c>
      <c r="K82" s="238">
        <f t="shared" ref="K82:K85" si="21">SUM(G82+J82)</f>
        <v>708787</v>
      </c>
      <c r="L82" s="239"/>
      <c r="M82" s="238">
        <v>0</v>
      </c>
      <c r="N82" s="238">
        <v>0</v>
      </c>
      <c r="O82" s="336"/>
      <c r="P82" s="336"/>
      <c r="Q82" s="336"/>
      <c r="R82" s="336"/>
      <c r="S82" s="336"/>
      <c r="T82" s="336"/>
      <c r="U82" s="336"/>
    </row>
    <row r="83" spans="2:21" s="242" customFormat="1" x14ac:dyDescent="0.25">
      <c r="B83" s="242" t="s">
        <v>1273</v>
      </c>
      <c r="C83" s="441"/>
      <c r="D83" s="441"/>
      <c r="E83" s="817"/>
      <c r="F83" s="704"/>
      <c r="G83" s="238">
        <v>0</v>
      </c>
      <c r="H83" s="239">
        <v>0</v>
      </c>
      <c r="I83" s="238">
        <f t="shared" si="20"/>
        <v>0</v>
      </c>
      <c r="J83" s="325">
        <v>3500000</v>
      </c>
      <c r="K83" s="238">
        <f t="shared" si="21"/>
        <v>3500000</v>
      </c>
      <c r="L83" s="239">
        <v>500000</v>
      </c>
      <c r="M83" s="238">
        <v>0</v>
      </c>
      <c r="N83" s="238">
        <v>0</v>
      </c>
      <c r="O83" s="336"/>
      <c r="P83" s="336"/>
      <c r="Q83" s="336"/>
      <c r="R83" s="336"/>
      <c r="S83" s="336"/>
      <c r="T83" s="336"/>
      <c r="U83" s="336"/>
    </row>
    <row r="84" spans="2:21" s="242" customFormat="1" hidden="1" x14ac:dyDescent="0.25">
      <c r="B84" s="242" t="s">
        <v>922</v>
      </c>
      <c r="C84" s="441"/>
      <c r="D84" s="441"/>
      <c r="E84" s="817"/>
      <c r="F84" s="704"/>
      <c r="G84" s="238">
        <v>0</v>
      </c>
      <c r="H84" s="239"/>
      <c r="I84" s="238">
        <f t="shared" si="20"/>
        <v>0</v>
      </c>
      <c r="J84" s="325"/>
      <c r="K84" s="238">
        <f t="shared" si="21"/>
        <v>0</v>
      </c>
      <c r="L84" s="239"/>
      <c r="M84" s="238">
        <v>0</v>
      </c>
      <c r="N84" s="238">
        <v>0</v>
      </c>
      <c r="O84" s="336"/>
      <c r="P84" s="336"/>
      <c r="Q84" s="336"/>
      <c r="R84" s="336"/>
      <c r="S84" s="336"/>
      <c r="T84" s="336"/>
      <c r="U84" s="336"/>
    </row>
    <row r="85" spans="2:21" s="242" customFormat="1" x14ac:dyDescent="0.25">
      <c r="B85" s="242" t="s">
        <v>924</v>
      </c>
      <c r="C85" s="441"/>
      <c r="D85" s="441"/>
      <c r="E85" s="817"/>
      <c r="F85" s="704"/>
      <c r="G85" s="238">
        <v>1500000</v>
      </c>
      <c r="H85" s="239"/>
      <c r="I85" s="238">
        <f t="shared" si="20"/>
        <v>1500000</v>
      </c>
      <c r="J85" s="325">
        <v>0</v>
      </c>
      <c r="K85" s="238">
        <f t="shared" si="21"/>
        <v>1500000</v>
      </c>
      <c r="L85" s="239">
        <v>500000</v>
      </c>
      <c r="M85" s="238">
        <v>0</v>
      </c>
      <c r="N85" s="238">
        <v>0</v>
      </c>
      <c r="O85" s="336"/>
      <c r="P85" s="336"/>
      <c r="Q85" s="336"/>
      <c r="R85" s="336"/>
      <c r="S85" s="336"/>
      <c r="T85" s="336"/>
      <c r="U85" s="336"/>
    </row>
    <row r="86" spans="2:21" s="242" customFormat="1" hidden="1" x14ac:dyDescent="0.25">
      <c r="B86" s="242" t="s">
        <v>1020</v>
      </c>
      <c r="C86" s="639"/>
      <c r="D86" s="639"/>
      <c r="E86" s="818"/>
      <c r="F86" s="819"/>
      <c r="G86" s="348"/>
      <c r="H86" s="358">
        <v>70395.12</v>
      </c>
      <c r="I86" s="348">
        <f t="shared" si="20"/>
        <v>-70395.12</v>
      </c>
      <c r="J86" s="326">
        <v>70395</v>
      </c>
      <c r="K86" s="348"/>
      <c r="L86" s="478"/>
      <c r="M86" s="348"/>
      <c r="N86" s="348"/>
      <c r="O86" s="336"/>
      <c r="P86" s="336"/>
      <c r="Q86" s="336"/>
      <c r="R86" s="336"/>
      <c r="S86" s="336"/>
      <c r="T86" s="336"/>
      <c r="U86" s="336"/>
    </row>
    <row r="87" spans="2:21" ht="16.5" thickBot="1" x14ac:dyDescent="0.3">
      <c r="C87" s="504"/>
      <c r="D87" s="504"/>
      <c r="E87" s="789"/>
      <c r="F87" s="820"/>
      <c r="G87" s="487">
        <f t="shared" ref="G87:N87" si="22">SUM(G80:G86)</f>
        <v>2771439</v>
      </c>
      <c r="H87" s="487">
        <f t="shared" si="22"/>
        <v>1229684.71</v>
      </c>
      <c r="I87" s="487">
        <f t="shared" si="22"/>
        <v>1541754.29</v>
      </c>
      <c r="J87" s="487">
        <f t="shared" si="22"/>
        <v>3679182</v>
      </c>
      <c r="K87" s="487">
        <f t="shared" si="22"/>
        <v>6380226</v>
      </c>
      <c r="L87" s="487">
        <f t="shared" si="22"/>
        <v>2300000</v>
      </c>
      <c r="M87" s="487">
        <f t="shared" si="22"/>
        <v>200000</v>
      </c>
      <c r="N87" s="487">
        <f t="shared" si="22"/>
        <v>0</v>
      </c>
    </row>
    <row r="90" spans="2:21" ht="16.5" thickBot="1" x14ac:dyDescent="0.3">
      <c r="C90" s="504"/>
      <c r="D90" s="504"/>
      <c r="E90" s="789"/>
      <c r="F90" s="504"/>
      <c r="G90" s="506">
        <f t="shared" ref="G90:N90" si="23">G77+G87</f>
        <v>30732795.101499997</v>
      </c>
      <c r="H90" s="506">
        <f t="shared" si="23"/>
        <v>11882979.426200002</v>
      </c>
      <c r="I90" s="506">
        <f t="shared" si="23"/>
        <v>18849815.675299995</v>
      </c>
      <c r="J90" s="506">
        <f t="shared" si="23"/>
        <v>6600908.445468301</v>
      </c>
      <c r="K90" s="506">
        <f t="shared" si="23"/>
        <v>37263308.546968296</v>
      </c>
      <c r="L90" s="506">
        <f t="shared" si="23"/>
        <v>34045321.827311993</v>
      </c>
      <c r="M90" s="506">
        <f t="shared" si="23"/>
        <v>31207368.667455889</v>
      </c>
      <c r="N90" s="506">
        <f t="shared" si="23"/>
        <v>37758808.971569009</v>
      </c>
    </row>
    <row r="93" spans="2:21" x14ac:dyDescent="0.25">
      <c r="B93" s="650" t="s">
        <v>627</v>
      </c>
      <c r="C93" s="713"/>
      <c r="D93" s="713"/>
      <c r="E93" s="821"/>
      <c r="F93" s="715"/>
      <c r="G93" s="339">
        <v>-5073843</v>
      </c>
      <c r="H93" s="339"/>
      <c r="I93" s="339"/>
      <c r="J93" s="339"/>
      <c r="K93" s="339">
        <f>SUM(G93+J93)</f>
        <v>-5073843</v>
      </c>
      <c r="L93" s="339">
        <v>-5521365.9919999996</v>
      </c>
      <c r="M93" s="339">
        <f>L93*1.044</f>
        <v>-5764306.095648</v>
      </c>
      <c r="N93" s="341">
        <f>M93*1.045</f>
        <v>-6023699.8699521599</v>
      </c>
    </row>
    <row r="94" spans="2:21" hidden="1" x14ac:dyDescent="0.25">
      <c r="B94" s="650" t="s">
        <v>922</v>
      </c>
      <c r="C94" s="626"/>
      <c r="D94" s="626"/>
      <c r="E94" s="822"/>
      <c r="F94" s="702"/>
      <c r="G94" s="311">
        <v>0</v>
      </c>
      <c r="H94" s="311"/>
      <c r="I94" s="311"/>
      <c r="J94" s="311"/>
      <c r="K94" s="311">
        <f t="shared" ref="K94:K95" si="24">SUM(G94+J94)</f>
        <v>0</v>
      </c>
      <c r="L94" s="311"/>
      <c r="M94" s="311">
        <v>0</v>
      </c>
      <c r="N94" s="313">
        <v>0</v>
      </c>
    </row>
    <row r="95" spans="2:21" x14ac:dyDescent="0.25">
      <c r="B95" s="650" t="s">
        <v>931</v>
      </c>
      <c r="C95" s="823"/>
      <c r="D95" s="823"/>
      <c r="E95" s="824"/>
      <c r="F95" s="825"/>
      <c r="G95" s="345">
        <v>-996714.75</v>
      </c>
      <c r="H95" s="345"/>
      <c r="I95" s="345"/>
      <c r="J95" s="345">
        <v>-1577762.27</v>
      </c>
      <c r="K95" s="345">
        <f t="shared" si="24"/>
        <v>-2574477.02</v>
      </c>
      <c r="L95" s="345">
        <v>-151484.37</v>
      </c>
      <c r="M95" s="326">
        <v>0</v>
      </c>
      <c r="N95" s="313">
        <v>0</v>
      </c>
    </row>
    <row r="96" spans="2:21" x14ac:dyDescent="0.25">
      <c r="C96" s="433"/>
      <c r="D96" s="433"/>
      <c r="E96" s="826"/>
      <c r="F96" s="717"/>
      <c r="G96" s="413">
        <f t="shared" ref="G96:N96" si="25">SUM(G93:G95)</f>
        <v>-6070557.75</v>
      </c>
      <c r="H96" s="331">
        <f t="shared" si="25"/>
        <v>0</v>
      </c>
      <c r="I96" s="331">
        <f t="shared" si="25"/>
        <v>0</v>
      </c>
      <c r="J96" s="331">
        <f t="shared" si="25"/>
        <v>-1577762.27</v>
      </c>
      <c r="K96" s="331">
        <f t="shared" si="25"/>
        <v>-7648320.0199999996</v>
      </c>
      <c r="L96" s="331">
        <f t="shared" si="25"/>
        <v>-5672850.3619999997</v>
      </c>
      <c r="M96" s="331">
        <f t="shared" si="25"/>
        <v>-5764306.095648</v>
      </c>
      <c r="N96" s="331">
        <f t="shared" si="25"/>
        <v>-6023699.8699521599</v>
      </c>
    </row>
  </sheetData>
  <sortState xmlns:xlrd2="http://schemas.microsoft.com/office/spreadsheetml/2017/richdata2" ref="B42:N74">
    <sortCondition ref="B42:B74"/>
  </sortState>
  <mergeCells count="1">
    <mergeCell ref="B1:N2"/>
  </mergeCells>
  <phoneticPr fontId="48" type="noConversion"/>
  <pageMargins left="0.7" right="0.7" top="0.75" bottom="0.75" header="0.3" footer="0.3"/>
  <pageSetup paperSize="9" scale="46" fitToHeight="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0C3E0-2D1B-4EA9-A3B8-A3BC97014ECC}">
  <sheetPr>
    <tabColor rgb="FF7030A0"/>
  </sheetPr>
  <dimension ref="A1:Q54"/>
  <sheetViews>
    <sheetView topLeftCell="B1" zoomScale="80" zoomScaleNormal="80" workbookViewId="0">
      <pane ySplit="5" topLeftCell="A47" activePane="bottomLeft" state="frozen"/>
      <selection activeCell="B1" sqref="B1"/>
      <selection pane="bottomLeft" activeCell="B1" sqref="A1:XFD1048576"/>
    </sheetView>
  </sheetViews>
  <sheetFormatPr defaultColWidth="9.140625" defaultRowHeight="15.75" x14ac:dyDescent="0.25"/>
  <cols>
    <col min="1" max="1" width="54.140625" style="17" hidden="1" customWidth="1"/>
    <col min="2" max="2" width="38.85546875" style="240" customWidth="1"/>
    <col min="3" max="3" width="21.28515625" style="393" hidden="1" customWidth="1"/>
    <col min="4" max="4" width="23.42578125" style="393" hidden="1" customWidth="1"/>
    <col min="5" max="5" width="35.85546875" style="393" hidden="1" customWidth="1"/>
    <col min="6" max="6" width="22" style="393" hidden="1" customWidth="1"/>
    <col min="7" max="7" width="17.5703125" style="241" customWidth="1"/>
    <col min="8" max="10" width="17.5703125" style="241" hidden="1" customWidth="1"/>
    <col min="11" max="14" width="17.5703125" style="241" customWidth="1"/>
    <col min="15" max="17" width="9.140625" style="17" customWidth="1"/>
    <col min="18" max="16384" width="9.140625" style="17"/>
  </cols>
  <sheetData>
    <row r="1" spans="1:16" ht="38.25" customHeight="1" x14ac:dyDescent="0.25">
      <c r="A1" s="507" t="s">
        <v>493</v>
      </c>
      <c r="B1" s="922" t="s">
        <v>1002</v>
      </c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</row>
    <row r="2" spans="1:16" ht="15.75" customHeight="1" thickBot="1" x14ac:dyDescent="0.3">
      <c r="A2" s="128" t="s">
        <v>0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</row>
    <row r="3" spans="1:16" ht="17.25" hidden="1" customHeight="1" thickBot="1" x14ac:dyDescent="0.3">
      <c r="A3" s="126"/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</row>
    <row r="4" spans="1:16" ht="17.25" hidden="1" customHeight="1" thickBot="1" x14ac:dyDescent="0.3">
      <c r="A4" s="129" t="s">
        <v>1</v>
      </c>
      <c r="B4" s="922"/>
      <c r="C4" s="922"/>
      <c r="D4" s="922"/>
      <c r="E4" s="922"/>
      <c r="F4" s="922"/>
      <c r="G4" s="922"/>
      <c r="H4" s="922"/>
      <c r="I4" s="922"/>
      <c r="J4" s="922"/>
      <c r="K4" s="922"/>
      <c r="L4" s="922"/>
      <c r="M4" s="922"/>
      <c r="N4" s="922"/>
    </row>
    <row r="5" spans="1:16" ht="67.5" customHeight="1" thickBot="1" x14ac:dyDescent="0.3">
      <c r="A5" s="130" t="s">
        <v>2</v>
      </c>
      <c r="B5" s="300"/>
      <c r="C5" s="834" t="s">
        <v>1030</v>
      </c>
      <c r="D5" s="510" t="s">
        <v>1031</v>
      </c>
      <c r="E5" s="512" t="s">
        <v>306</v>
      </c>
      <c r="F5" s="303" t="s">
        <v>1032</v>
      </c>
      <c r="G5" s="689" t="s">
        <v>1028</v>
      </c>
      <c r="H5" s="214" t="s">
        <v>983</v>
      </c>
      <c r="I5" s="214" t="s">
        <v>1027</v>
      </c>
      <c r="J5" s="214" t="s">
        <v>631</v>
      </c>
      <c r="K5" s="214" t="s">
        <v>1274</v>
      </c>
      <c r="L5" s="304" t="s">
        <v>932</v>
      </c>
      <c r="M5" s="304" t="s">
        <v>996</v>
      </c>
      <c r="N5" s="215" t="s">
        <v>1296</v>
      </c>
    </row>
    <row r="6" spans="1:16" x14ac:dyDescent="0.25">
      <c r="A6" s="131" t="s">
        <v>3</v>
      </c>
      <c r="C6" s="307"/>
      <c r="D6" s="307"/>
      <c r="E6" s="307"/>
      <c r="F6" s="307"/>
      <c r="G6" s="310"/>
      <c r="H6" s="312"/>
      <c r="I6" s="312"/>
      <c r="J6" s="312"/>
      <c r="K6" s="311"/>
      <c r="L6" s="457"/>
      <c r="M6" s="325"/>
      <c r="N6" s="325"/>
    </row>
    <row r="7" spans="1:16" x14ac:dyDescent="0.25">
      <c r="A7" s="131"/>
      <c r="C7" s="307"/>
      <c r="D7" s="307"/>
      <c r="E7" s="307"/>
      <c r="F7" s="307"/>
      <c r="G7" s="313"/>
      <c r="H7" s="312"/>
      <c r="I7" s="312"/>
      <c r="J7" s="312"/>
      <c r="K7" s="311"/>
      <c r="L7" s="457"/>
      <c r="M7" s="325"/>
      <c r="N7" s="325"/>
    </row>
    <row r="8" spans="1:16" x14ac:dyDescent="0.25">
      <c r="A8" s="15" t="s">
        <v>422</v>
      </c>
      <c r="B8" s="240" t="s">
        <v>11</v>
      </c>
      <c r="C8" s="307"/>
      <c r="D8" s="307"/>
      <c r="E8" s="307"/>
      <c r="F8" s="307"/>
      <c r="G8" s="238">
        <v>1633956</v>
      </c>
      <c r="H8" s="239">
        <v>931239.94</v>
      </c>
      <c r="I8" s="239">
        <f>SUM(G8-H8)</f>
        <v>702716.06</v>
      </c>
      <c r="J8" s="239">
        <v>96799.269719999749</v>
      </c>
      <c r="K8" s="325">
        <f>SUM(G8+J8)</f>
        <v>1730755.2697199997</v>
      </c>
      <c r="L8" s="325">
        <v>1745747.38</v>
      </c>
      <c r="M8" s="325">
        <f>L8*1.044</f>
        <v>1822560.2647199999</v>
      </c>
      <c r="N8" s="325">
        <f>M8*1.045</f>
        <v>1904575.4766323997</v>
      </c>
      <c r="P8" s="515"/>
    </row>
    <row r="9" spans="1:16" x14ac:dyDescent="0.25">
      <c r="A9" s="15" t="s">
        <v>539</v>
      </c>
      <c r="B9" s="650" t="s">
        <v>448</v>
      </c>
      <c r="C9" s="626"/>
      <c r="D9" s="626"/>
      <c r="E9" s="626"/>
      <c r="F9" s="626"/>
      <c r="G9" s="238">
        <v>23658</v>
      </c>
      <c r="H9" s="239">
        <v>5173.9799999999996</v>
      </c>
      <c r="I9" s="239">
        <f t="shared" ref="I9:I17" si="0">SUM(G9-H9)</f>
        <v>18484.02</v>
      </c>
      <c r="J9" s="239">
        <v>-8000</v>
      </c>
      <c r="K9" s="325">
        <f t="shared" ref="K9:K19" si="1">SUM(G9+J9)</f>
        <v>15658</v>
      </c>
      <c r="L9" s="325">
        <v>9025.08</v>
      </c>
      <c r="M9" s="325">
        <f>L9*1.044</f>
        <v>9422.1835200000005</v>
      </c>
      <c r="N9" s="325">
        <f>M9*1.045</f>
        <v>9846.1817783999995</v>
      </c>
      <c r="P9" s="515"/>
    </row>
    <row r="10" spans="1:16" x14ac:dyDescent="0.25">
      <c r="A10" s="15" t="s">
        <v>423</v>
      </c>
      <c r="B10" s="240" t="s">
        <v>25</v>
      </c>
      <c r="C10" s="307"/>
      <c r="D10" s="307"/>
      <c r="E10" s="307"/>
      <c r="F10" s="307"/>
      <c r="G10" s="238">
        <v>22800</v>
      </c>
      <c r="H10" s="239">
        <v>19600</v>
      </c>
      <c r="I10" s="239">
        <f t="shared" si="0"/>
        <v>3200</v>
      </c>
      <c r="J10" s="239">
        <v>19200</v>
      </c>
      <c r="K10" s="325">
        <f t="shared" si="1"/>
        <v>42000</v>
      </c>
      <c r="L10" s="325">
        <v>42000</v>
      </c>
      <c r="M10" s="325">
        <v>42000</v>
      </c>
      <c r="N10" s="325">
        <v>42000</v>
      </c>
      <c r="P10" s="515"/>
    </row>
    <row r="11" spans="1:16" ht="22.5" customHeight="1" x14ac:dyDescent="0.25">
      <c r="A11" s="15" t="s">
        <v>424</v>
      </c>
      <c r="B11" s="240" t="s">
        <v>27</v>
      </c>
      <c r="C11" s="307"/>
      <c r="D11" s="307"/>
      <c r="E11" s="307"/>
      <c r="F11" s="307"/>
      <c r="G11" s="238">
        <v>308844</v>
      </c>
      <c r="H11" s="239">
        <v>172019</v>
      </c>
      <c r="I11" s="239">
        <f t="shared" si="0"/>
        <v>136825</v>
      </c>
      <c r="J11" s="239">
        <v>45069.839999999967</v>
      </c>
      <c r="K11" s="325">
        <f t="shared" si="1"/>
        <v>353913.83999999997</v>
      </c>
      <c r="L11" s="325">
        <v>358960.08</v>
      </c>
      <c r="M11" s="325">
        <v>358960</v>
      </c>
      <c r="N11" s="325">
        <v>358960</v>
      </c>
      <c r="P11" s="515"/>
    </row>
    <row r="12" spans="1:16" x14ac:dyDescent="0.25">
      <c r="A12" s="15" t="s">
        <v>541</v>
      </c>
      <c r="B12" s="240" t="s">
        <v>76</v>
      </c>
      <c r="C12" s="307"/>
      <c r="D12" s="307"/>
      <c r="E12" s="307"/>
      <c r="F12" s="307"/>
      <c r="G12" s="238">
        <v>3600</v>
      </c>
      <c r="H12" s="239">
        <v>1800</v>
      </c>
      <c r="I12" s="239">
        <f t="shared" si="0"/>
        <v>1800</v>
      </c>
      <c r="J12" s="239">
        <v>0</v>
      </c>
      <c r="K12" s="325">
        <f t="shared" si="1"/>
        <v>3600</v>
      </c>
      <c r="L12" s="325">
        <v>0</v>
      </c>
      <c r="M12" s="325">
        <v>0</v>
      </c>
      <c r="N12" s="325">
        <v>0</v>
      </c>
      <c r="P12" s="515"/>
    </row>
    <row r="13" spans="1:16" ht="16.5" customHeight="1" x14ac:dyDescent="0.25">
      <c r="A13" s="15" t="s">
        <v>542</v>
      </c>
      <c r="B13" s="240" t="s">
        <v>29</v>
      </c>
      <c r="C13" s="307"/>
      <c r="D13" s="307"/>
      <c r="E13" s="307"/>
      <c r="F13" s="307"/>
      <c r="G13" s="238">
        <v>0</v>
      </c>
      <c r="H13" s="239"/>
      <c r="I13" s="239">
        <f t="shared" si="0"/>
        <v>0</v>
      </c>
      <c r="J13" s="239">
        <v>0</v>
      </c>
      <c r="K13" s="325">
        <f t="shared" si="1"/>
        <v>0</v>
      </c>
      <c r="L13" s="325">
        <v>3600</v>
      </c>
      <c r="M13" s="325">
        <v>3600</v>
      </c>
      <c r="N13" s="325">
        <v>3600</v>
      </c>
      <c r="P13" s="515"/>
    </row>
    <row r="14" spans="1:16" hidden="1" x14ac:dyDescent="0.25">
      <c r="A14" s="15" t="s">
        <v>543</v>
      </c>
      <c r="B14" s="240" t="s">
        <v>513</v>
      </c>
      <c r="C14" s="307"/>
      <c r="D14" s="307"/>
      <c r="E14" s="307"/>
      <c r="F14" s="307"/>
      <c r="G14" s="238"/>
      <c r="H14" s="239"/>
      <c r="I14" s="239">
        <f t="shared" si="0"/>
        <v>0</v>
      </c>
      <c r="J14" s="239">
        <v>0</v>
      </c>
      <c r="K14" s="325">
        <f t="shared" si="1"/>
        <v>0</v>
      </c>
      <c r="L14" s="325">
        <v>0</v>
      </c>
      <c r="M14" s="325">
        <v>0</v>
      </c>
      <c r="N14" s="325">
        <v>0</v>
      </c>
      <c r="P14" s="515"/>
    </row>
    <row r="15" spans="1:16" x14ac:dyDescent="0.25">
      <c r="A15" s="15" t="s">
        <v>425</v>
      </c>
      <c r="B15" s="240" t="s">
        <v>31</v>
      </c>
      <c r="C15" s="307"/>
      <c r="D15" s="307"/>
      <c r="E15" s="307"/>
      <c r="F15" s="307"/>
      <c r="G15" s="238">
        <v>136163</v>
      </c>
      <c r="H15" s="239">
        <v>76042.710000000006</v>
      </c>
      <c r="I15" s="239">
        <f t="shared" si="0"/>
        <v>60120.289999999994</v>
      </c>
      <c r="J15" s="239">
        <v>8066.6058099999791</v>
      </c>
      <c r="K15" s="325">
        <f t="shared" si="1"/>
        <v>144229.60580999998</v>
      </c>
      <c r="L15" s="325">
        <v>145479</v>
      </c>
      <c r="M15" s="325">
        <v>151880</v>
      </c>
      <c r="N15" s="325">
        <v>158714.62</v>
      </c>
      <c r="P15" s="515"/>
    </row>
    <row r="16" spans="1:16" x14ac:dyDescent="0.25">
      <c r="A16" s="15" t="s">
        <v>437</v>
      </c>
      <c r="B16" s="240" t="s">
        <v>123</v>
      </c>
      <c r="C16" s="307"/>
      <c r="D16" s="307"/>
      <c r="E16" s="307"/>
      <c r="F16" s="307"/>
      <c r="G16" s="238">
        <v>10860.98</v>
      </c>
      <c r="H16" s="239">
        <v>0</v>
      </c>
      <c r="I16" s="239">
        <f t="shared" si="0"/>
        <v>10860.98</v>
      </c>
      <c r="J16" s="239">
        <v>0</v>
      </c>
      <c r="K16" s="325">
        <f t="shared" si="1"/>
        <v>10860.98</v>
      </c>
      <c r="L16" s="325">
        <f>K16*1.048</f>
        <v>11382.30704</v>
      </c>
      <c r="M16" s="325">
        <f>L16*1.044</f>
        <v>11883.12854976</v>
      </c>
      <c r="N16" s="325">
        <f>M16*1.045</f>
        <v>12417.869334499199</v>
      </c>
      <c r="P16" s="515"/>
    </row>
    <row r="17" spans="1:16" x14ac:dyDescent="0.25">
      <c r="A17" s="15"/>
      <c r="B17" s="835" t="s">
        <v>545</v>
      </c>
      <c r="C17" s="836"/>
      <c r="D17" s="836"/>
      <c r="E17" s="836"/>
      <c r="F17" s="836"/>
      <c r="G17" s="238">
        <v>15089</v>
      </c>
      <c r="H17" s="239">
        <v>0</v>
      </c>
      <c r="I17" s="239">
        <f t="shared" si="0"/>
        <v>15089</v>
      </c>
      <c r="J17" s="239">
        <v>0</v>
      </c>
      <c r="K17" s="325">
        <f t="shared" si="1"/>
        <v>15089</v>
      </c>
      <c r="L17" s="325">
        <f>K17*1.048</f>
        <v>15813.272000000001</v>
      </c>
      <c r="M17" s="325">
        <f>L17*1.044</f>
        <v>16509.055968000001</v>
      </c>
      <c r="N17" s="325">
        <f>M17*1.045</f>
        <v>17251.963486559998</v>
      </c>
      <c r="P17" s="515"/>
    </row>
    <row r="18" spans="1:16" hidden="1" x14ac:dyDescent="0.25">
      <c r="A18" s="15" t="s">
        <v>544</v>
      </c>
      <c r="B18" s="835" t="s">
        <v>545</v>
      </c>
      <c r="C18" s="836"/>
      <c r="D18" s="836"/>
      <c r="E18" s="836"/>
      <c r="F18" s="836"/>
      <c r="G18" s="313"/>
      <c r="H18" s="312"/>
      <c r="I18" s="312"/>
      <c r="J18" s="312"/>
      <c r="K18" s="311">
        <f t="shared" si="1"/>
        <v>0</v>
      </c>
      <c r="L18" s="457">
        <v>0</v>
      </c>
      <c r="M18" s="325">
        <v>0</v>
      </c>
      <c r="N18" s="325">
        <v>0</v>
      </c>
      <c r="P18" s="515"/>
    </row>
    <row r="19" spans="1:16" hidden="1" x14ac:dyDescent="0.25">
      <c r="A19" s="15" t="s">
        <v>436</v>
      </c>
      <c r="B19" s="654" t="s">
        <v>502</v>
      </c>
      <c r="C19" s="837"/>
      <c r="D19" s="837"/>
      <c r="E19" s="837"/>
      <c r="F19" s="837"/>
      <c r="G19" s="347"/>
      <c r="H19" s="346"/>
      <c r="I19" s="346"/>
      <c r="J19" s="346"/>
      <c r="K19" s="345">
        <f t="shared" si="1"/>
        <v>0</v>
      </c>
      <c r="L19" s="485"/>
      <c r="M19" s="326"/>
      <c r="N19" s="326"/>
      <c r="P19" s="515"/>
    </row>
    <row r="20" spans="1:16" ht="16.5" thickBot="1" x14ac:dyDescent="0.3">
      <c r="A20" s="131"/>
      <c r="C20" s="433"/>
      <c r="D20" s="386"/>
      <c r="E20" s="389"/>
      <c r="F20" s="433"/>
      <c r="G20" s="424">
        <f>SUM(G8:G19)</f>
        <v>2154970.98</v>
      </c>
      <c r="H20" s="424">
        <f>SUM(H8:H19)</f>
        <v>1205875.6299999999</v>
      </c>
      <c r="I20" s="424">
        <f>SUM(I8:I19)</f>
        <v>949095.35000000009</v>
      </c>
      <c r="J20" s="487">
        <f>SUM(J8:J19)</f>
        <v>161135.7155299997</v>
      </c>
      <c r="K20" s="487">
        <f>SUM(K8:K19)</f>
        <v>2316106.6955299997</v>
      </c>
      <c r="L20" s="838">
        <f t="shared" ref="L20:N20" si="2">SUM(L8:L19)</f>
        <v>2332007.1190399998</v>
      </c>
      <c r="M20" s="521">
        <f t="shared" si="2"/>
        <v>2416814.6327577601</v>
      </c>
      <c r="N20" s="838">
        <f t="shared" si="2"/>
        <v>2507366.1112318593</v>
      </c>
      <c r="P20" s="515"/>
    </row>
    <row r="21" spans="1:16" x14ac:dyDescent="0.25">
      <c r="A21" s="131"/>
      <c r="C21" s="307"/>
      <c r="D21" s="374"/>
      <c r="E21" s="378"/>
      <c r="F21" s="307"/>
      <c r="G21" s="489"/>
      <c r="K21" s="489"/>
      <c r="L21" s="527"/>
      <c r="M21" s="325"/>
      <c r="N21" s="325"/>
      <c r="P21" s="515"/>
    </row>
    <row r="22" spans="1:16" x14ac:dyDescent="0.25">
      <c r="A22" s="131"/>
      <c r="C22" s="307"/>
      <c r="D22" s="374"/>
      <c r="E22" s="378"/>
      <c r="F22" s="307"/>
      <c r="G22" s="489"/>
      <c r="K22" s="489"/>
      <c r="L22" s="527"/>
      <c r="M22" s="325"/>
      <c r="N22" s="325"/>
      <c r="P22" s="515"/>
    </row>
    <row r="23" spans="1:16" x14ac:dyDescent="0.25">
      <c r="A23" s="15" t="s">
        <v>426</v>
      </c>
      <c r="B23" s="240" t="s">
        <v>13</v>
      </c>
      <c r="C23" s="437"/>
      <c r="D23" s="371"/>
      <c r="E23" s="436"/>
      <c r="F23" s="437"/>
      <c r="G23" s="341">
        <v>231</v>
      </c>
      <c r="H23" s="339">
        <v>122.4</v>
      </c>
      <c r="I23" s="339">
        <f>SUM(G23-H23)</f>
        <v>108.6</v>
      </c>
      <c r="J23" s="340">
        <v>16.200000000000017</v>
      </c>
      <c r="K23" s="435">
        <f>SUM(G23+J23)</f>
        <v>247.20000000000002</v>
      </c>
      <c r="L23" s="344">
        <v>247.2</v>
      </c>
      <c r="M23" s="359">
        <v>247.2</v>
      </c>
      <c r="N23" s="344">
        <v>247.2</v>
      </c>
      <c r="P23" s="515"/>
    </row>
    <row r="24" spans="1:16" x14ac:dyDescent="0.25">
      <c r="A24" s="15" t="s">
        <v>427</v>
      </c>
      <c r="B24" s="240" t="s">
        <v>15</v>
      </c>
      <c r="C24" s="307"/>
      <c r="D24" s="374"/>
      <c r="E24" s="378"/>
      <c r="F24" s="307"/>
      <c r="G24" s="313">
        <v>136392</v>
      </c>
      <c r="H24" s="311">
        <v>61996.2</v>
      </c>
      <c r="I24" s="311">
        <f t="shared" ref="I24:I26" si="3">SUM(G24-H24)</f>
        <v>74395.8</v>
      </c>
      <c r="J24" s="312">
        <v>0</v>
      </c>
      <c r="K24" s="489">
        <f t="shared" ref="K24:K26" si="4">SUM(G24+J24)</f>
        <v>136392</v>
      </c>
      <c r="L24" s="238">
        <v>142360.68</v>
      </c>
      <c r="M24" s="325">
        <v>156596.75</v>
      </c>
      <c r="N24" s="238">
        <v>172256.42</v>
      </c>
      <c r="P24" s="515"/>
    </row>
    <row r="25" spans="1:16" x14ac:dyDescent="0.25">
      <c r="A25" s="15" t="s">
        <v>428</v>
      </c>
      <c r="B25" s="240" t="s">
        <v>17</v>
      </c>
      <c r="C25" s="307"/>
      <c r="D25" s="374"/>
      <c r="E25" s="378"/>
      <c r="F25" s="307"/>
      <c r="G25" s="313">
        <v>294765</v>
      </c>
      <c r="H25" s="311">
        <v>146748.96</v>
      </c>
      <c r="I25" s="311">
        <f t="shared" si="3"/>
        <v>148016.04</v>
      </c>
      <c r="J25" s="312">
        <v>17473.991639999964</v>
      </c>
      <c r="K25" s="489">
        <f t="shared" si="4"/>
        <v>312238.99163999996</v>
      </c>
      <c r="L25" s="238">
        <v>314943.65999999997</v>
      </c>
      <c r="M25" s="325">
        <v>328801</v>
      </c>
      <c r="N25" s="238">
        <v>321856</v>
      </c>
      <c r="P25" s="515"/>
    </row>
    <row r="26" spans="1:16" x14ac:dyDescent="0.25">
      <c r="A26" s="15" t="s">
        <v>429</v>
      </c>
      <c r="B26" s="240" t="s">
        <v>19</v>
      </c>
      <c r="C26" s="433"/>
      <c r="D26" s="386"/>
      <c r="E26" s="389"/>
      <c r="F26" s="433"/>
      <c r="G26" s="313">
        <v>5354</v>
      </c>
      <c r="H26" s="311">
        <v>3569.28</v>
      </c>
      <c r="I26" s="311">
        <f t="shared" si="3"/>
        <v>1784.7199999999998</v>
      </c>
      <c r="J26" s="312">
        <v>0</v>
      </c>
      <c r="K26" s="489">
        <f t="shared" si="4"/>
        <v>5354</v>
      </c>
      <c r="L26" s="238">
        <v>5353.92</v>
      </c>
      <c r="M26" s="325">
        <v>5353.92</v>
      </c>
      <c r="N26" s="238">
        <v>5353.92</v>
      </c>
      <c r="P26" s="515"/>
    </row>
    <row r="27" spans="1:16" x14ac:dyDescent="0.25">
      <c r="A27" s="15"/>
      <c r="C27" s="411"/>
      <c r="D27" s="412"/>
      <c r="E27" s="415"/>
      <c r="F27" s="411"/>
      <c r="G27" s="331">
        <f t="shared" ref="G27:N27" si="5">SUM(G23:G26)</f>
        <v>436742</v>
      </c>
      <c r="H27" s="331">
        <f t="shared" si="5"/>
        <v>212436.84</v>
      </c>
      <c r="I27" s="331">
        <f t="shared" si="5"/>
        <v>224305.16</v>
      </c>
      <c r="J27" s="349">
        <f t="shared" si="5"/>
        <v>17490.191639999965</v>
      </c>
      <c r="K27" s="434">
        <f t="shared" si="5"/>
        <v>454232.19163999998</v>
      </c>
      <c r="L27" s="414">
        <f t="shared" si="5"/>
        <v>462905.45999999996</v>
      </c>
      <c r="M27" s="486">
        <f t="shared" si="5"/>
        <v>490998.87</v>
      </c>
      <c r="N27" s="414">
        <f t="shared" si="5"/>
        <v>499713.54</v>
      </c>
      <c r="P27" s="515"/>
    </row>
    <row r="28" spans="1:16" x14ac:dyDescent="0.25">
      <c r="A28" s="15"/>
      <c r="C28" s="307"/>
      <c r="D28" s="374"/>
      <c r="E28" s="378"/>
      <c r="F28" s="307"/>
      <c r="G28" s="489"/>
      <c r="K28" s="489"/>
      <c r="L28" s="527"/>
      <c r="M28" s="325"/>
      <c r="N28" s="325"/>
    </row>
    <row r="29" spans="1:16" ht="16.5" thickBot="1" x14ac:dyDescent="0.3">
      <c r="A29" s="131"/>
      <c r="C29" s="583"/>
      <c r="D29" s="719"/>
      <c r="E29" s="504"/>
      <c r="F29" s="583"/>
      <c r="G29" s="487">
        <f t="shared" ref="G29:N29" si="6">G20+G27</f>
        <v>2591712.98</v>
      </c>
      <c r="H29" s="487">
        <f t="shared" si="6"/>
        <v>1418312.47</v>
      </c>
      <c r="I29" s="487">
        <f t="shared" si="6"/>
        <v>1173400.51</v>
      </c>
      <c r="J29" s="487">
        <f t="shared" si="6"/>
        <v>178625.90716999967</v>
      </c>
      <c r="K29" s="487">
        <f t="shared" si="6"/>
        <v>2770338.8871699995</v>
      </c>
      <c r="L29" s="838">
        <f t="shared" si="6"/>
        <v>2794912.5790399997</v>
      </c>
      <c r="M29" s="354">
        <f t="shared" si="6"/>
        <v>2907813.5027577602</v>
      </c>
      <c r="N29" s="838">
        <f t="shared" si="6"/>
        <v>3007079.6512318593</v>
      </c>
      <c r="O29" s="515"/>
      <c r="P29" s="693"/>
    </row>
    <row r="30" spans="1:16" x14ac:dyDescent="0.25">
      <c r="A30" s="131"/>
      <c r="C30" s="307"/>
      <c r="D30" s="374"/>
      <c r="E30" s="378"/>
      <c r="F30" s="307"/>
      <c r="G30" s="624"/>
      <c r="H30" s="416"/>
      <c r="I30" s="416"/>
      <c r="J30" s="416"/>
      <c r="K30" s="624"/>
      <c r="L30" s="527"/>
      <c r="M30" s="457"/>
      <c r="N30" s="325"/>
    </row>
    <row r="31" spans="1:16" x14ac:dyDescent="0.25">
      <c r="A31" s="131"/>
      <c r="B31" s="16" t="s">
        <v>319</v>
      </c>
      <c r="C31" s="428"/>
      <c r="D31" s="429"/>
      <c r="E31" s="493"/>
      <c r="F31" s="428"/>
      <c r="G31" s="435">
        <v>59.32</v>
      </c>
      <c r="H31" s="341">
        <v>697.17</v>
      </c>
      <c r="I31" s="341">
        <f>SUM(G31-H31)</f>
        <v>-637.84999999999991</v>
      </c>
      <c r="J31" s="340">
        <v>638</v>
      </c>
      <c r="K31" s="435">
        <f>SUM(G31+J31)</f>
        <v>697.32</v>
      </c>
      <c r="L31" s="344">
        <f>K31*1.048</f>
        <v>730.79136000000005</v>
      </c>
      <c r="M31" s="359">
        <f>L31*1.044</f>
        <v>762.94617984000013</v>
      </c>
      <c r="N31" s="359">
        <f>M31*1.045</f>
        <v>797.27875793280009</v>
      </c>
    </row>
    <row r="32" spans="1:16" x14ac:dyDescent="0.25">
      <c r="A32" s="131"/>
      <c r="B32" s="564" t="s">
        <v>321</v>
      </c>
      <c r="C32" s="565"/>
      <c r="D32" s="566"/>
      <c r="E32" s="567"/>
      <c r="F32" s="565"/>
      <c r="G32" s="638">
        <v>0</v>
      </c>
      <c r="H32" s="464">
        <v>2616.54</v>
      </c>
      <c r="I32" s="464">
        <f t="shared" ref="I32:I33" si="7">SUM(G32-H32)</f>
        <v>-2616.54</v>
      </c>
      <c r="J32" s="839">
        <v>2617</v>
      </c>
      <c r="K32" s="489">
        <f t="shared" ref="K32:K33" si="8">SUM(G32+J32)</f>
        <v>2617</v>
      </c>
      <c r="L32" s="238">
        <f t="shared" ref="L32:L33" si="9">K32*1.048</f>
        <v>2742.616</v>
      </c>
      <c r="M32" s="325">
        <f t="shared" ref="M32:M33" si="10">L32*1.044</f>
        <v>2863.2911039999999</v>
      </c>
      <c r="N32" s="325">
        <f t="shared" ref="N32:N33" si="11">M32*1.045</f>
        <v>2992.1392036799998</v>
      </c>
    </row>
    <row r="33" spans="1:17" x14ac:dyDescent="0.25">
      <c r="A33" s="131"/>
      <c r="B33" s="190" t="s">
        <v>1026</v>
      </c>
      <c r="C33" s="840"/>
      <c r="D33" s="841"/>
      <c r="E33" s="842"/>
      <c r="F33" s="840"/>
      <c r="G33" s="843">
        <v>0</v>
      </c>
      <c r="H33" s="422">
        <v>727.5</v>
      </c>
      <c r="I33" s="422">
        <f t="shared" si="7"/>
        <v>-727.5</v>
      </c>
      <c r="J33" s="696"/>
      <c r="K33" s="544">
        <f t="shared" si="8"/>
        <v>0</v>
      </c>
      <c r="L33" s="563">
        <f t="shared" si="9"/>
        <v>0</v>
      </c>
      <c r="M33" s="326">
        <f t="shared" si="10"/>
        <v>0</v>
      </c>
      <c r="N33" s="326">
        <f t="shared" si="11"/>
        <v>0</v>
      </c>
    </row>
    <row r="34" spans="1:17" x14ac:dyDescent="0.25">
      <c r="A34" s="131"/>
      <c r="C34" s="411"/>
      <c r="D34" s="412"/>
      <c r="E34" s="415"/>
      <c r="F34" s="411"/>
      <c r="G34" s="844">
        <f>SUM(G31:G33)</f>
        <v>59.32</v>
      </c>
      <c r="H34" s="844">
        <f t="shared" ref="H34:J34" si="12">SUM(H31:H33)</f>
        <v>4041.21</v>
      </c>
      <c r="I34" s="844">
        <f t="shared" si="12"/>
        <v>-3981.89</v>
      </c>
      <c r="J34" s="844">
        <f t="shared" si="12"/>
        <v>3255</v>
      </c>
      <c r="K34" s="844">
        <f>SUM(K31:K33)</f>
        <v>3314.32</v>
      </c>
      <c r="L34" s="563">
        <f t="shared" ref="L34:N34" si="13">SUM(L31:L33)</f>
        <v>3473.4073600000002</v>
      </c>
      <c r="M34" s="478">
        <f t="shared" si="13"/>
        <v>3626.2372838400001</v>
      </c>
      <c r="N34" s="414">
        <f t="shared" si="13"/>
        <v>3789.4179616127999</v>
      </c>
    </row>
    <row r="35" spans="1:17" x14ac:dyDescent="0.25">
      <c r="A35" s="131"/>
      <c r="C35" s="307"/>
      <c r="D35" s="374"/>
      <c r="E35" s="378"/>
      <c r="F35" s="307"/>
      <c r="G35" s="624"/>
      <c r="H35" s="416"/>
      <c r="I35" s="416"/>
      <c r="J35" s="416"/>
      <c r="K35" s="624"/>
      <c r="L35" s="527"/>
      <c r="M35" s="457"/>
      <c r="N35" s="325"/>
    </row>
    <row r="36" spans="1:17" s="847" customFormat="1" ht="18" customHeight="1" x14ac:dyDescent="0.25">
      <c r="A36" s="756" t="s">
        <v>430</v>
      </c>
      <c r="B36" s="763" t="s">
        <v>5</v>
      </c>
      <c r="C36" s="845" t="s">
        <v>1052</v>
      </c>
      <c r="D36" s="751" t="s">
        <v>1047</v>
      </c>
      <c r="E36" s="846" t="s">
        <v>1048</v>
      </c>
      <c r="F36" s="845" t="s">
        <v>1049</v>
      </c>
      <c r="G36" s="344">
        <f>G29*1/100</f>
        <v>25917.129799999999</v>
      </c>
      <c r="H36" s="359">
        <v>11672.86</v>
      </c>
      <c r="I36" s="359">
        <f>SUM(G36-H36)</f>
        <v>14244.269799999998</v>
      </c>
      <c r="J36" s="359">
        <v>0</v>
      </c>
      <c r="K36" s="359">
        <f>SUM(G36+J36)</f>
        <v>25917.129799999999</v>
      </c>
      <c r="L36" s="359">
        <f>L29*1/100</f>
        <v>27949.125790399998</v>
      </c>
      <c r="M36" s="359">
        <f>M29*1/100</f>
        <v>29078.135027577602</v>
      </c>
      <c r="N36" s="344">
        <f>N29*1/100</f>
        <v>30070.796512318593</v>
      </c>
    </row>
    <row r="37" spans="1:17" s="647" customFormat="1" ht="18" customHeight="1" x14ac:dyDescent="0.25">
      <c r="A37" s="243" t="s">
        <v>302</v>
      </c>
      <c r="B37" s="232" t="s">
        <v>941</v>
      </c>
      <c r="C37" s="245" t="s">
        <v>1054</v>
      </c>
      <c r="D37" s="376" t="s">
        <v>1057</v>
      </c>
      <c r="E37" s="571" t="s">
        <v>1157</v>
      </c>
      <c r="F37" s="245" t="s">
        <v>1152</v>
      </c>
      <c r="G37" s="238">
        <v>0</v>
      </c>
      <c r="H37" s="325"/>
      <c r="I37" s="325"/>
      <c r="J37" s="325">
        <v>0</v>
      </c>
      <c r="K37" s="325">
        <v>0</v>
      </c>
      <c r="L37" s="325">
        <f>300000-180000-120000</f>
        <v>0</v>
      </c>
      <c r="M37" s="325">
        <v>0</v>
      </c>
      <c r="N37" s="238">
        <v>0</v>
      </c>
    </row>
    <row r="38" spans="1:17" s="647" customFormat="1" ht="18" customHeight="1" x14ac:dyDescent="0.25">
      <c r="A38" s="243" t="s">
        <v>439</v>
      </c>
      <c r="B38" s="232" t="s">
        <v>939</v>
      </c>
      <c r="C38" s="245" t="s">
        <v>1054</v>
      </c>
      <c r="D38" s="376" t="s">
        <v>1057</v>
      </c>
      <c r="E38" s="571" t="s">
        <v>1156</v>
      </c>
      <c r="F38" s="245" t="s">
        <v>1152</v>
      </c>
      <c r="G38" s="238">
        <v>0</v>
      </c>
      <c r="H38" s="325"/>
      <c r="I38" s="325"/>
      <c r="J38" s="325">
        <v>0</v>
      </c>
      <c r="K38" s="325">
        <v>0</v>
      </c>
      <c r="L38" s="325">
        <f>200000-200000+50000</f>
        <v>50000</v>
      </c>
      <c r="M38" s="325">
        <v>50000</v>
      </c>
      <c r="N38" s="238">
        <v>50000</v>
      </c>
    </row>
    <row r="39" spans="1:17" s="647" customFormat="1" ht="18" customHeight="1" x14ac:dyDescent="0.25">
      <c r="A39" s="243" t="s">
        <v>431</v>
      </c>
      <c r="B39" s="232" t="s">
        <v>438</v>
      </c>
      <c r="C39" s="245" t="s">
        <v>1052</v>
      </c>
      <c r="D39" s="376"/>
      <c r="E39" s="809"/>
      <c r="F39" s="244"/>
      <c r="G39" s="238">
        <v>0</v>
      </c>
      <c r="H39" s="325"/>
      <c r="I39" s="325">
        <f>SUM(G39-H39)</f>
        <v>0</v>
      </c>
      <c r="J39" s="325">
        <v>0</v>
      </c>
      <c r="K39" s="325">
        <f>SUM(G39+J39)</f>
        <v>0</v>
      </c>
      <c r="L39" s="325">
        <v>0</v>
      </c>
      <c r="M39" s="325">
        <v>0</v>
      </c>
      <c r="N39" s="238">
        <v>0</v>
      </c>
    </row>
    <row r="40" spans="1:17" s="647" customFormat="1" ht="18" customHeight="1" x14ac:dyDescent="0.25">
      <c r="A40" s="243" t="s">
        <v>303</v>
      </c>
      <c r="B40" s="232" t="s">
        <v>1210</v>
      </c>
      <c r="C40" s="245"/>
      <c r="D40" s="376" t="s">
        <v>1057</v>
      </c>
      <c r="E40" s="571" t="s">
        <v>1158</v>
      </c>
      <c r="F40" s="245" t="s">
        <v>1159</v>
      </c>
      <c r="G40" s="238"/>
      <c r="H40" s="325"/>
      <c r="I40" s="325"/>
      <c r="J40" s="325"/>
      <c r="K40" s="325"/>
      <c r="L40" s="325">
        <f>250000-200000</f>
        <v>50000</v>
      </c>
      <c r="M40" s="325">
        <f>L40*1.044</f>
        <v>52200</v>
      </c>
      <c r="N40" s="238">
        <f>M40*1.045</f>
        <v>54548.999999999993</v>
      </c>
    </row>
    <row r="41" spans="1:17" s="647" customFormat="1" ht="18" customHeight="1" x14ac:dyDescent="0.25">
      <c r="A41" s="243" t="s">
        <v>432</v>
      </c>
      <c r="B41" s="232" t="s">
        <v>940</v>
      </c>
      <c r="C41" s="245" t="s">
        <v>1054</v>
      </c>
      <c r="D41" s="376" t="s">
        <v>1057</v>
      </c>
      <c r="E41" s="809" t="s">
        <v>1153</v>
      </c>
      <c r="F41" s="245" t="s">
        <v>1049</v>
      </c>
      <c r="G41" s="238">
        <v>0</v>
      </c>
      <c r="H41" s="325"/>
      <c r="I41" s="325"/>
      <c r="J41" s="325">
        <v>0</v>
      </c>
      <c r="K41" s="325">
        <v>0</v>
      </c>
      <c r="L41" s="325">
        <f>60000-30000</f>
        <v>30000</v>
      </c>
      <c r="M41" s="325">
        <f>L41*1.044</f>
        <v>31320</v>
      </c>
      <c r="N41" s="238">
        <f>M41*1.045</f>
        <v>32729.399999999998</v>
      </c>
    </row>
    <row r="42" spans="1:17" s="647" customFormat="1" ht="18" customHeight="1" x14ac:dyDescent="0.25">
      <c r="A42" s="243" t="s">
        <v>433</v>
      </c>
      <c r="B42" s="232" t="s">
        <v>1284</v>
      </c>
      <c r="C42" s="245" t="s">
        <v>1055</v>
      </c>
      <c r="D42" s="376" t="s">
        <v>1057</v>
      </c>
      <c r="E42" s="571" t="s">
        <v>1061</v>
      </c>
      <c r="F42" s="245" t="s">
        <v>1062</v>
      </c>
      <c r="G42" s="238">
        <f>554028-0.3</f>
        <v>554027.69999999995</v>
      </c>
      <c r="H42" s="325">
        <v>17622.349999999999</v>
      </c>
      <c r="I42" s="325">
        <f t="shared" ref="I42:I51" si="14">SUM(G42-H42)</f>
        <v>536405.35</v>
      </c>
      <c r="J42" s="325">
        <v>0</v>
      </c>
      <c r="K42" s="325">
        <f t="shared" ref="K42:K51" si="15">SUM(G42+J42)</f>
        <v>554027.69999999995</v>
      </c>
      <c r="L42" s="325">
        <f>1000000-400000-35000</f>
        <v>565000</v>
      </c>
      <c r="M42" s="325">
        <v>573291</v>
      </c>
      <c r="N42" s="238">
        <v>400000</v>
      </c>
    </row>
    <row r="43" spans="1:17" s="647" customFormat="1" ht="18" customHeight="1" x14ac:dyDescent="0.25">
      <c r="A43" s="243" t="s">
        <v>540</v>
      </c>
      <c r="B43" s="232" t="s">
        <v>226</v>
      </c>
      <c r="C43" s="245" t="s">
        <v>1054</v>
      </c>
      <c r="D43" s="376" t="s">
        <v>1057</v>
      </c>
      <c r="E43" s="809" t="s">
        <v>1060</v>
      </c>
      <c r="F43" s="245" t="s">
        <v>1062</v>
      </c>
      <c r="G43" s="238">
        <v>50000</v>
      </c>
      <c r="H43" s="325"/>
      <c r="I43" s="325">
        <f t="shared" si="14"/>
        <v>50000</v>
      </c>
      <c r="J43" s="325">
        <v>0</v>
      </c>
      <c r="K43" s="325">
        <f t="shared" si="15"/>
        <v>50000</v>
      </c>
      <c r="L43" s="325">
        <f>150000-100000</f>
        <v>50000</v>
      </c>
      <c r="M43" s="325">
        <v>50000</v>
      </c>
      <c r="N43" s="238">
        <v>50000</v>
      </c>
    </row>
    <row r="44" spans="1:17" s="647" customFormat="1" ht="18" customHeight="1" x14ac:dyDescent="0.25">
      <c r="A44" s="243" t="s">
        <v>434</v>
      </c>
      <c r="B44" s="232" t="s">
        <v>43</v>
      </c>
      <c r="C44" s="245" t="s">
        <v>1052</v>
      </c>
      <c r="D44" s="376" t="s">
        <v>1057</v>
      </c>
      <c r="E44" s="809" t="s">
        <v>579</v>
      </c>
      <c r="F44" s="245" t="s">
        <v>1049</v>
      </c>
      <c r="G44" s="238">
        <v>5559</v>
      </c>
      <c r="H44" s="325"/>
      <c r="I44" s="325">
        <f t="shared" si="14"/>
        <v>5559</v>
      </c>
      <c r="J44" s="325">
        <v>0</v>
      </c>
      <c r="K44" s="325">
        <f t="shared" si="15"/>
        <v>5559</v>
      </c>
      <c r="L44" s="325">
        <f>K44*1.048</f>
        <v>5825.8320000000003</v>
      </c>
      <c r="M44" s="325">
        <f>L44*1.044</f>
        <v>6082.1686080000009</v>
      </c>
      <c r="N44" s="238">
        <f>M44*1.045</f>
        <v>6355.8661953600003</v>
      </c>
    </row>
    <row r="45" spans="1:17" s="647" customFormat="1" ht="18" customHeight="1" x14ac:dyDescent="0.25">
      <c r="A45" s="243" t="s">
        <v>546</v>
      </c>
      <c r="B45" s="232" t="s">
        <v>339</v>
      </c>
      <c r="C45" s="245" t="s">
        <v>1052</v>
      </c>
      <c r="D45" s="376" t="s">
        <v>1057</v>
      </c>
      <c r="E45" s="809" t="s">
        <v>583</v>
      </c>
      <c r="F45" s="245" t="s">
        <v>1049</v>
      </c>
      <c r="G45" s="238">
        <v>0</v>
      </c>
      <c r="H45" s="325"/>
      <c r="I45" s="325">
        <f t="shared" si="14"/>
        <v>0</v>
      </c>
      <c r="J45" s="325">
        <v>0</v>
      </c>
      <c r="K45" s="325">
        <f t="shared" si="15"/>
        <v>0</v>
      </c>
      <c r="L45" s="325">
        <v>0</v>
      </c>
      <c r="M45" s="325">
        <v>0</v>
      </c>
      <c r="N45" s="238">
        <v>0</v>
      </c>
    </row>
    <row r="46" spans="1:17" s="647" customFormat="1" ht="18" customHeight="1" x14ac:dyDescent="0.25">
      <c r="A46" s="243" t="s">
        <v>435</v>
      </c>
      <c r="B46" s="232" t="s">
        <v>381</v>
      </c>
      <c r="C46" s="244"/>
      <c r="D46" s="376" t="s">
        <v>1057</v>
      </c>
      <c r="E46" s="809" t="s">
        <v>581</v>
      </c>
      <c r="F46" s="245" t="s">
        <v>1049</v>
      </c>
      <c r="G46" s="238">
        <v>0</v>
      </c>
      <c r="H46" s="325"/>
      <c r="I46" s="325">
        <f t="shared" si="14"/>
        <v>0</v>
      </c>
      <c r="J46" s="325">
        <v>0</v>
      </c>
      <c r="K46" s="325">
        <f t="shared" si="15"/>
        <v>0</v>
      </c>
      <c r="L46" s="325">
        <v>0</v>
      </c>
      <c r="M46" s="325">
        <v>0</v>
      </c>
      <c r="N46" s="238">
        <v>0</v>
      </c>
      <c r="O46" s="848"/>
      <c r="P46" s="848"/>
      <c r="Q46" s="848"/>
    </row>
    <row r="47" spans="1:17" s="647" customFormat="1" ht="18" customHeight="1" x14ac:dyDescent="0.25">
      <c r="A47" s="243" t="s">
        <v>304</v>
      </c>
      <c r="B47" s="232" t="s">
        <v>23</v>
      </c>
      <c r="C47" s="245" t="s">
        <v>1052</v>
      </c>
      <c r="D47" s="376" t="s">
        <v>1057</v>
      </c>
      <c r="E47" s="809" t="s">
        <v>580</v>
      </c>
      <c r="F47" s="245" t="s">
        <v>1049</v>
      </c>
      <c r="G47" s="238">
        <v>0</v>
      </c>
      <c r="H47" s="325"/>
      <c r="I47" s="325">
        <f t="shared" si="14"/>
        <v>0</v>
      </c>
      <c r="J47" s="325">
        <v>0</v>
      </c>
      <c r="K47" s="325">
        <f t="shared" si="15"/>
        <v>0</v>
      </c>
      <c r="L47" s="325">
        <v>1000</v>
      </c>
      <c r="M47" s="325">
        <f>L47*1.044</f>
        <v>1044</v>
      </c>
      <c r="N47" s="238">
        <f>M47*1.045</f>
        <v>1090.98</v>
      </c>
    </row>
    <row r="48" spans="1:17" s="647" customFormat="1" ht="18" customHeight="1" x14ac:dyDescent="0.25">
      <c r="A48" s="243"/>
      <c r="B48" s="232" t="s">
        <v>50</v>
      </c>
      <c r="C48" s="245" t="s">
        <v>1052</v>
      </c>
      <c r="D48" s="376" t="s">
        <v>1057</v>
      </c>
      <c r="E48" s="809" t="s">
        <v>1038</v>
      </c>
      <c r="F48" s="245" t="s">
        <v>1049</v>
      </c>
      <c r="G48" s="238">
        <v>0</v>
      </c>
      <c r="H48" s="325"/>
      <c r="I48" s="325">
        <f t="shared" si="14"/>
        <v>0</v>
      </c>
      <c r="J48" s="325">
        <v>0</v>
      </c>
      <c r="K48" s="325">
        <f t="shared" si="15"/>
        <v>0</v>
      </c>
      <c r="L48" s="325">
        <v>0</v>
      </c>
      <c r="M48" s="325">
        <v>0</v>
      </c>
      <c r="N48" s="238">
        <v>0</v>
      </c>
    </row>
    <row r="49" spans="1:14" s="647" customFormat="1" ht="18" customHeight="1" x14ac:dyDescent="0.25">
      <c r="A49" s="243"/>
      <c r="B49" s="232" t="s">
        <v>219</v>
      </c>
      <c r="C49" s="245" t="s">
        <v>1052</v>
      </c>
      <c r="D49" s="376" t="s">
        <v>1057</v>
      </c>
      <c r="E49" s="571" t="s">
        <v>1059</v>
      </c>
      <c r="F49" s="245" t="s">
        <v>1049</v>
      </c>
      <c r="G49" s="238">
        <v>0</v>
      </c>
      <c r="H49" s="325"/>
      <c r="I49" s="325">
        <f t="shared" si="14"/>
        <v>0</v>
      </c>
      <c r="J49" s="325">
        <v>0</v>
      </c>
      <c r="K49" s="325">
        <f t="shared" si="15"/>
        <v>0</v>
      </c>
      <c r="L49" s="325"/>
      <c r="M49" s="325"/>
      <c r="N49" s="238"/>
    </row>
    <row r="50" spans="1:14" s="647" customFormat="1" ht="18" customHeight="1" x14ac:dyDescent="0.25">
      <c r="A50" s="243"/>
      <c r="B50" s="232" t="s">
        <v>62</v>
      </c>
      <c r="C50" s="245" t="s">
        <v>1052</v>
      </c>
      <c r="D50" s="376" t="s">
        <v>1057</v>
      </c>
      <c r="E50" s="809" t="s">
        <v>582</v>
      </c>
      <c r="F50" s="245" t="s">
        <v>1049</v>
      </c>
      <c r="G50" s="238">
        <v>0</v>
      </c>
      <c r="H50" s="325">
        <v>15561</v>
      </c>
      <c r="I50" s="325">
        <f t="shared" si="14"/>
        <v>-15561</v>
      </c>
      <c r="J50" s="325">
        <v>32000</v>
      </c>
      <c r="K50" s="239">
        <f t="shared" si="15"/>
        <v>32000</v>
      </c>
      <c r="L50" s="238">
        <f>K50*1.048-10000</f>
        <v>23536</v>
      </c>
      <c r="M50" s="239">
        <f>L50*1.044</f>
        <v>24571.584000000003</v>
      </c>
      <c r="N50" s="238">
        <f>M50*1.045</f>
        <v>25677.30528</v>
      </c>
    </row>
    <row r="51" spans="1:14" s="852" customFormat="1" ht="18" customHeight="1" x14ac:dyDescent="0.25">
      <c r="A51" s="324"/>
      <c r="B51" s="849" t="s">
        <v>7</v>
      </c>
      <c r="C51" s="365" t="s">
        <v>1052</v>
      </c>
      <c r="D51" s="850" t="s">
        <v>1047</v>
      </c>
      <c r="E51" s="851" t="s">
        <v>1058</v>
      </c>
      <c r="F51" s="365" t="s">
        <v>1049</v>
      </c>
      <c r="G51" s="348">
        <v>964</v>
      </c>
      <c r="H51" s="326"/>
      <c r="I51" s="326">
        <f t="shared" si="14"/>
        <v>964</v>
      </c>
      <c r="J51" s="326">
        <v>0</v>
      </c>
      <c r="K51" s="358">
        <f t="shared" si="15"/>
        <v>964</v>
      </c>
      <c r="L51" s="348">
        <v>1500</v>
      </c>
      <c r="M51" s="358">
        <f>L51*1.044</f>
        <v>1566</v>
      </c>
      <c r="N51" s="348">
        <f>M51*1.044</f>
        <v>1634.904</v>
      </c>
    </row>
    <row r="52" spans="1:14" x14ac:dyDescent="0.25">
      <c r="A52" s="131"/>
      <c r="C52" s="433"/>
      <c r="D52" s="386"/>
      <c r="E52" s="389"/>
      <c r="F52" s="433"/>
      <c r="G52" s="562">
        <f>SUM(G36:G50)</f>
        <v>635503.82979999995</v>
      </c>
      <c r="H52" s="562">
        <f>SUM(H36:H50)</f>
        <v>44856.21</v>
      </c>
      <c r="I52" s="562">
        <f>SUM(I36:I50)</f>
        <v>590647.61979999999</v>
      </c>
      <c r="J52" s="562">
        <f>SUM(J36:J50)</f>
        <v>32000</v>
      </c>
      <c r="K52" s="562">
        <f>SUM(K36:K50)</f>
        <v>667503.82979999995</v>
      </c>
      <c r="L52" s="563">
        <f>SUM(L36:L51)</f>
        <v>804810.95779040002</v>
      </c>
      <c r="M52" s="563">
        <f>SUM(M36:M50)</f>
        <v>817586.8876355777</v>
      </c>
      <c r="N52" s="563">
        <f>SUM(N36:N50)</f>
        <v>650473.34798767848</v>
      </c>
    </row>
    <row r="53" spans="1:14" x14ac:dyDescent="0.25">
      <c r="A53" s="131"/>
      <c r="C53" s="433"/>
      <c r="D53" s="386"/>
      <c r="E53" s="389"/>
      <c r="F53" s="433"/>
      <c r="G53" s="489"/>
      <c r="L53" s="418"/>
      <c r="M53" s="336"/>
      <c r="N53" s="336"/>
    </row>
    <row r="54" spans="1:14" ht="16.5" thickBot="1" x14ac:dyDescent="0.3">
      <c r="A54" s="446"/>
      <c r="G54" s="584">
        <f>G29+G52+Infrastructure!G38</f>
        <v>3383066.8097999999</v>
      </c>
      <c r="H54" s="506">
        <f>H29+H52+Infrastructure!H38</f>
        <v>1636768.68</v>
      </c>
      <c r="I54" s="506">
        <f>I29+I52+Infrastructure!I38</f>
        <v>1746298.1298</v>
      </c>
      <c r="J54" s="506">
        <f>J29+J52+Infrastructure!J38</f>
        <v>860625.90716999967</v>
      </c>
      <c r="K54" s="506">
        <f>K29+K52+Infrastructure!K38</f>
        <v>4243692.7169699995</v>
      </c>
      <c r="L54" s="506">
        <f>L29+L52+Infrastructure!N38</f>
        <v>4099723.5368303997</v>
      </c>
      <c r="M54" s="506">
        <f>M29+M52+Infrastructure!O38</f>
        <v>4247400.3903933382</v>
      </c>
      <c r="N54" s="506">
        <f>N29+N52+Infrastructure!P38</f>
        <v>4057552.9992195377</v>
      </c>
    </row>
  </sheetData>
  <sortState xmlns:xlrd2="http://schemas.microsoft.com/office/spreadsheetml/2017/richdata2" ref="B37:N51">
    <sortCondition ref="B36:B51"/>
  </sortState>
  <mergeCells count="1">
    <mergeCell ref="B1:N4"/>
  </mergeCells>
  <phoneticPr fontId="48" type="noConversion"/>
  <pageMargins left="0.7" right="0.7" top="0.75" bottom="0.75" header="0.3" footer="0.3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D4E5-9C53-493A-A2E2-158499087B40}">
  <sheetPr>
    <tabColor rgb="FF92D050"/>
  </sheetPr>
  <dimension ref="A7:D33"/>
  <sheetViews>
    <sheetView topLeftCell="A7" workbookViewId="0">
      <selection activeCell="C15" sqref="C15"/>
    </sheetView>
  </sheetViews>
  <sheetFormatPr defaultColWidth="9.140625" defaultRowHeight="12.75" x14ac:dyDescent="0.2"/>
  <cols>
    <col min="1" max="1" width="29.42578125" style="40" customWidth="1"/>
    <col min="2" max="2" width="29.140625" style="40" customWidth="1"/>
    <col min="3" max="3" width="13" style="79" customWidth="1"/>
    <col min="4" max="4" width="22.5703125" style="40" customWidth="1"/>
    <col min="5" max="16384" width="9.140625" style="40"/>
  </cols>
  <sheetData>
    <row r="7" spans="1:4" ht="21.75" customHeight="1" x14ac:dyDescent="0.2">
      <c r="A7" s="917" t="s">
        <v>766</v>
      </c>
      <c r="B7" s="917"/>
      <c r="C7" s="917"/>
    </row>
    <row r="9" spans="1:4" ht="36.75" customHeight="1" x14ac:dyDescent="0.2">
      <c r="A9" s="65"/>
      <c r="B9" s="65" t="s">
        <v>547</v>
      </c>
      <c r="C9" s="66" t="s">
        <v>767</v>
      </c>
    </row>
    <row r="10" spans="1:4" ht="13.5" thickBot="1" x14ac:dyDescent="0.25">
      <c r="A10" s="67" t="s">
        <v>768</v>
      </c>
      <c r="B10" s="68"/>
      <c r="C10" s="69"/>
    </row>
    <row r="11" spans="1:4" x14ac:dyDescent="0.2">
      <c r="A11" s="70"/>
      <c r="B11" s="55" t="s">
        <v>769</v>
      </c>
      <c r="C11" s="71">
        <v>960000</v>
      </c>
      <c r="D11" s="40" t="s">
        <v>838</v>
      </c>
    </row>
    <row r="12" spans="1:4" ht="25.5" x14ac:dyDescent="0.2">
      <c r="A12" s="70"/>
      <c r="B12" s="55" t="s">
        <v>770</v>
      </c>
      <c r="C12" s="71">
        <v>0</v>
      </c>
    </row>
    <row r="13" spans="1:4" x14ac:dyDescent="0.2">
      <c r="A13" s="70"/>
      <c r="B13" s="55" t="s">
        <v>771</v>
      </c>
      <c r="C13" s="72">
        <v>1500000</v>
      </c>
      <c r="D13" s="40" t="s">
        <v>838</v>
      </c>
    </row>
    <row r="14" spans="1:4" x14ac:dyDescent="0.2">
      <c r="A14" s="70"/>
      <c r="B14" s="55" t="s">
        <v>772</v>
      </c>
      <c r="C14" s="72">
        <v>1245825</v>
      </c>
    </row>
    <row r="15" spans="1:4" x14ac:dyDescent="0.2">
      <c r="A15" s="70"/>
      <c r="B15" s="55" t="s">
        <v>839</v>
      </c>
      <c r="C15" s="72"/>
    </row>
    <row r="16" spans="1:4" x14ac:dyDescent="0.2">
      <c r="A16" s="70"/>
      <c r="B16" s="73"/>
      <c r="C16" s="74">
        <f>SUM(C11:C14)</f>
        <v>3705825</v>
      </c>
    </row>
    <row r="17" spans="1:4" x14ac:dyDescent="0.2">
      <c r="A17" s="70"/>
      <c r="B17" s="55"/>
      <c r="C17" s="71"/>
    </row>
    <row r="18" spans="1:4" x14ac:dyDescent="0.2">
      <c r="A18" s="75" t="s">
        <v>773</v>
      </c>
      <c r="B18" s="55"/>
      <c r="C18" s="71"/>
    </row>
    <row r="19" spans="1:4" ht="17.25" customHeight="1" x14ac:dyDescent="0.2">
      <c r="A19" s="70" t="s">
        <v>774</v>
      </c>
      <c r="B19" s="43" t="s">
        <v>775</v>
      </c>
      <c r="C19" s="69">
        <f>237100.63*107.1/100</f>
        <v>253934.77472999998</v>
      </c>
      <c r="D19" s="40" t="s">
        <v>837</v>
      </c>
    </row>
    <row r="20" spans="1:4" x14ac:dyDescent="0.2">
      <c r="A20" s="70" t="s">
        <v>776</v>
      </c>
      <c r="B20" s="43" t="s">
        <v>777</v>
      </c>
      <c r="C20" s="71">
        <f>86819236*1/100</f>
        <v>868192.36</v>
      </c>
    </row>
    <row r="21" spans="1:4" x14ac:dyDescent="0.2">
      <c r="A21" s="70" t="s">
        <v>778</v>
      </c>
      <c r="B21" s="43" t="s">
        <v>779</v>
      </c>
      <c r="C21" s="76">
        <f>3850000*107.1/100</f>
        <v>4123350</v>
      </c>
    </row>
    <row r="22" spans="1:4" x14ac:dyDescent="0.2">
      <c r="A22" s="70"/>
      <c r="B22" s="43"/>
      <c r="C22" s="74">
        <f>SUM(C19:C21)</f>
        <v>5245477.13473</v>
      </c>
    </row>
    <row r="23" spans="1:4" x14ac:dyDescent="0.2">
      <c r="A23" s="70"/>
      <c r="B23" s="55"/>
      <c r="C23" s="71"/>
    </row>
    <row r="24" spans="1:4" x14ac:dyDescent="0.2">
      <c r="A24" s="75" t="s">
        <v>491</v>
      </c>
      <c r="B24" s="55"/>
      <c r="C24" s="71"/>
    </row>
    <row r="25" spans="1:4" x14ac:dyDescent="0.2">
      <c r="A25" s="70" t="s">
        <v>780</v>
      </c>
      <c r="B25" s="55" t="s">
        <v>781</v>
      </c>
      <c r="C25" s="71">
        <f>115200*12</f>
        <v>1382400</v>
      </c>
    </row>
    <row r="26" spans="1:4" x14ac:dyDescent="0.2">
      <c r="A26" s="70" t="s">
        <v>782</v>
      </c>
      <c r="B26" s="55" t="s">
        <v>783</v>
      </c>
      <c r="C26" s="71">
        <v>960260</v>
      </c>
    </row>
    <row r="27" spans="1:4" x14ac:dyDescent="0.2">
      <c r="A27" s="70" t="s">
        <v>784</v>
      </c>
      <c r="B27" s="55" t="s">
        <v>785</v>
      </c>
      <c r="C27" s="71">
        <v>1200000</v>
      </c>
    </row>
    <row r="28" spans="1:4" x14ac:dyDescent="0.2">
      <c r="A28" s="70" t="s">
        <v>786</v>
      </c>
      <c r="B28" s="55" t="s">
        <v>787</v>
      </c>
      <c r="C28" s="71">
        <v>1300000</v>
      </c>
    </row>
    <row r="29" spans="1:4" x14ac:dyDescent="0.2">
      <c r="A29" s="70" t="s">
        <v>788</v>
      </c>
      <c r="B29" s="55" t="s">
        <v>789</v>
      </c>
      <c r="C29" s="71">
        <v>500000</v>
      </c>
    </row>
    <row r="30" spans="1:4" x14ac:dyDescent="0.2">
      <c r="A30" s="70"/>
      <c r="B30" s="55"/>
      <c r="C30" s="74">
        <f>SUM(C25:C29)</f>
        <v>5342660</v>
      </c>
    </row>
    <row r="31" spans="1:4" x14ac:dyDescent="0.2">
      <c r="A31" s="70"/>
      <c r="B31" s="55"/>
      <c r="C31" s="71"/>
    </row>
    <row r="32" spans="1:4" x14ac:dyDescent="0.2">
      <c r="A32" s="77"/>
      <c r="B32" s="73"/>
      <c r="C32" s="76"/>
    </row>
    <row r="33" spans="3:3" ht="13.5" thickBot="1" x14ac:dyDescent="0.25">
      <c r="C33" s="78">
        <f>C30+C22+C16</f>
        <v>14293962.13473</v>
      </c>
    </row>
  </sheetData>
  <mergeCells count="1">
    <mergeCell ref="A7:C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99E4-E31B-48F4-804A-677CECB3CB53}">
  <sheetPr>
    <tabColor rgb="FF7030A0"/>
    <pageSetUpPr fitToPage="1"/>
  </sheetPr>
  <dimension ref="A1:FX113"/>
  <sheetViews>
    <sheetView zoomScale="70" zoomScaleNormal="70" workbookViewId="0">
      <pane ySplit="5" topLeftCell="A76" activePane="bottomLeft" state="frozen"/>
      <selection activeCell="B1" sqref="B1"/>
      <selection pane="bottomLeft" activeCell="B93" sqref="B93"/>
    </sheetView>
  </sheetViews>
  <sheetFormatPr defaultColWidth="9.140625" defaultRowHeight="15.75" x14ac:dyDescent="0.25"/>
  <cols>
    <col min="1" max="1" width="67.85546875" style="17" hidden="1" customWidth="1"/>
    <col min="2" max="2" width="51.140625" style="240" customWidth="1"/>
    <col min="3" max="3" width="32.42578125" style="240" hidden="1" customWidth="1"/>
    <col min="4" max="4" width="19.28515625" style="240" hidden="1" customWidth="1"/>
    <col min="5" max="5" width="21.5703125" style="240" hidden="1" customWidth="1"/>
    <col min="6" max="6" width="29.140625" style="240" hidden="1" customWidth="1"/>
    <col min="7" max="7" width="17.5703125" style="241" customWidth="1"/>
    <col min="8" max="10" width="17.5703125" style="241" hidden="1" customWidth="1"/>
    <col min="11" max="14" width="17.5703125" style="241" customWidth="1"/>
    <col min="15" max="15" width="19.140625" style="241" customWidth="1"/>
    <col min="16" max="16" width="15.85546875" style="241" customWidth="1"/>
    <col min="17" max="17" width="14.5703125" style="508" customWidth="1"/>
    <col min="18" max="18" width="13.140625" style="508" customWidth="1"/>
    <col min="19" max="19" width="11.5703125" style="17" customWidth="1"/>
    <col min="20" max="20" width="12.42578125" style="17" customWidth="1"/>
    <col min="21" max="22" width="9.140625" style="17" customWidth="1"/>
    <col min="23" max="24" width="10" style="17" customWidth="1"/>
    <col min="25" max="180" width="9.140625" style="509"/>
    <col min="181" max="16384" width="9.140625" style="17"/>
  </cols>
  <sheetData>
    <row r="1" spans="1:24" ht="32.25" customHeight="1" x14ac:dyDescent="0.25">
      <c r="A1" s="127" t="s">
        <v>492</v>
      </c>
      <c r="B1" s="922" t="s">
        <v>1001</v>
      </c>
      <c r="C1" s="922"/>
      <c r="D1" s="922"/>
      <c r="E1" s="922"/>
      <c r="F1" s="922"/>
      <c r="G1" s="922"/>
      <c r="H1" s="922"/>
      <c r="I1" s="922"/>
      <c r="J1" s="922"/>
      <c r="K1" s="922"/>
      <c r="L1" s="922"/>
      <c r="M1" s="922"/>
      <c r="N1" s="922"/>
      <c r="O1" s="922"/>
      <c r="P1" s="922"/>
    </row>
    <row r="2" spans="1:24" x14ac:dyDescent="0.25">
      <c r="A2" s="128" t="s">
        <v>0</v>
      </c>
      <c r="B2" s="922"/>
      <c r="C2" s="922"/>
      <c r="D2" s="922"/>
      <c r="E2" s="922"/>
      <c r="F2" s="922"/>
      <c r="G2" s="922"/>
      <c r="H2" s="922"/>
      <c r="I2" s="922"/>
      <c r="J2" s="922"/>
      <c r="K2" s="922"/>
      <c r="L2" s="922"/>
      <c r="M2" s="922"/>
      <c r="N2" s="922"/>
      <c r="O2" s="922"/>
      <c r="P2" s="922"/>
    </row>
    <row r="3" spans="1:24" x14ac:dyDescent="0.25">
      <c r="A3" s="126"/>
      <c r="B3" s="922"/>
      <c r="C3" s="922"/>
      <c r="D3" s="922"/>
      <c r="E3" s="922"/>
      <c r="F3" s="922"/>
      <c r="G3" s="922"/>
      <c r="H3" s="922"/>
      <c r="I3" s="922"/>
      <c r="J3" s="922"/>
      <c r="K3" s="922"/>
      <c r="L3" s="922"/>
      <c r="M3" s="922"/>
      <c r="N3" s="922"/>
      <c r="O3" s="922"/>
      <c r="P3" s="922"/>
    </row>
    <row r="4" spans="1:24" ht="16.5" thickBot="1" x14ac:dyDescent="0.3">
      <c r="A4" s="129"/>
      <c r="B4" s="922"/>
      <c r="C4" s="922"/>
      <c r="D4" s="922"/>
      <c r="E4" s="922"/>
      <c r="F4" s="922"/>
      <c r="G4" s="922"/>
      <c r="H4" s="922"/>
      <c r="I4" s="922"/>
      <c r="J4" s="922"/>
      <c r="K4" s="922"/>
      <c r="L4" s="922"/>
      <c r="M4" s="922"/>
      <c r="N4" s="922"/>
      <c r="O4" s="922"/>
      <c r="P4" s="922"/>
    </row>
    <row r="5" spans="1:24" ht="48" thickBot="1" x14ac:dyDescent="0.3">
      <c r="A5" s="130" t="s">
        <v>2</v>
      </c>
      <c r="B5" s="300"/>
      <c r="C5" s="834" t="s">
        <v>1030</v>
      </c>
      <c r="D5" s="512" t="s">
        <v>1031</v>
      </c>
      <c r="E5" s="512" t="s">
        <v>306</v>
      </c>
      <c r="F5" s="853" t="s">
        <v>1032</v>
      </c>
      <c r="G5" s="854" t="s">
        <v>1028</v>
      </c>
      <c r="H5" s="557" t="s">
        <v>983</v>
      </c>
      <c r="I5" s="557" t="s">
        <v>1027</v>
      </c>
      <c r="J5" s="557" t="s">
        <v>631</v>
      </c>
      <c r="K5" s="855" t="s">
        <v>1274</v>
      </c>
      <c r="L5" s="855" t="s">
        <v>1317</v>
      </c>
      <c r="M5" s="855" t="s">
        <v>1318</v>
      </c>
      <c r="N5" s="304" t="s">
        <v>932</v>
      </c>
      <c r="O5" s="304" t="s">
        <v>996</v>
      </c>
      <c r="P5" s="215" t="s">
        <v>1296</v>
      </c>
    </row>
    <row r="6" spans="1:24" x14ac:dyDescent="0.25">
      <c r="A6" s="131"/>
      <c r="C6" s="319"/>
      <c r="D6" s="856"/>
      <c r="E6" s="856"/>
      <c r="F6" s="320"/>
      <c r="G6" s="435"/>
      <c r="H6" s="435"/>
      <c r="I6" s="435"/>
      <c r="J6" s="435"/>
      <c r="K6" s="341"/>
      <c r="L6" s="339"/>
      <c r="M6" s="339"/>
      <c r="N6" s="359"/>
      <c r="O6" s="359"/>
      <c r="P6" s="359"/>
    </row>
    <row r="7" spans="1:24" x14ac:dyDescent="0.25">
      <c r="A7" s="15" t="s">
        <v>279</v>
      </c>
      <c r="B7" s="240" t="s">
        <v>11</v>
      </c>
      <c r="C7" s="319"/>
      <c r="D7" s="856"/>
      <c r="E7" s="856"/>
      <c r="F7" s="320"/>
      <c r="G7" s="489">
        <f>2755679+947863</f>
        <v>3703542</v>
      </c>
      <c r="H7" s="489">
        <v>1237635.55</v>
      </c>
      <c r="I7" s="489">
        <f>SUM(G7-H7)</f>
        <v>2465906.4500000002</v>
      </c>
      <c r="J7" s="489">
        <f>-148976.68572-947863</f>
        <v>-1096839.68572</v>
      </c>
      <c r="K7" s="313">
        <f>SUM(G7+J7)</f>
        <v>2606702.31428</v>
      </c>
      <c r="L7" s="311">
        <v>591339</v>
      </c>
      <c r="M7" s="311">
        <f>K7+L7</f>
        <v>3198041.31428</v>
      </c>
      <c r="N7" s="325">
        <v>6449992</v>
      </c>
      <c r="O7" s="325">
        <f>3417055+2588228</f>
        <v>6005283</v>
      </c>
      <c r="P7" s="325">
        <f>3570822+2704699</f>
        <v>6275521</v>
      </c>
      <c r="S7" s="515"/>
      <c r="T7" s="515"/>
    </row>
    <row r="8" spans="1:24" s="509" customFormat="1" x14ac:dyDescent="0.25">
      <c r="A8" s="191"/>
      <c r="B8" s="242" t="s">
        <v>992</v>
      </c>
      <c r="C8" s="632"/>
      <c r="D8" s="833"/>
      <c r="E8" s="833"/>
      <c r="F8" s="397"/>
      <c r="G8" s="237">
        <v>171480</v>
      </c>
      <c r="H8" s="237"/>
      <c r="I8" s="237">
        <f t="shared" ref="I8:I16" si="0">SUM(G8-H8)</f>
        <v>171480</v>
      </c>
      <c r="J8" s="237">
        <v>-171480</v>
      </c>
      <c r="K8" s="238">
        <f t="shared" ref="K8:K16" si="1">SUM(G8+J8)</f>
        <v>0</v>
      </c>
      <c r="L8" s="325">
        <v>0</v>
      </c>
      <c r="M8" s="311">
        <f t="shared" ref="M8:M16" si="2">K8+L8</f>
        <v>0</v>
      </c>
      <c r="N8" s="325">
        <v>0</v>
      </c>
      <c r="O8" s="325">
        <v>0</v>
      </c>
      <c r="P8" s="325">
        <v>0</v>
      </c>
      <c r="R8" s="192"/>
      <c r="S8" s="516"/>
      <c r="T8" s="516"/>
    </row>
    <row r="9" spans="1:24" x14ac:dyDescent="0.25">
      <c r="A9" s="15" t="s">
        <v>538</v>
      </c>
      <c r="B9" s="650" t="s">
        <v>448</v>
      </c>
      <c r="C9" s="857"/>
      <c r="D9" s="858"/>
      <c r="E9" s="858"/>
      <c r="F9" s="859"/>
      <c r="G9" s="489">
        <v>6000</v>
      </c>
      <c r="H9" s="489">
        <v>13088.86</v>
      </c>
      <c r="I9" s="489">
        <f t="shared" si="0"/>
        <v>-7088.8600000000006</v>
      </c>
      <c r="J9" s="489">
        <v>20177.72</v>
      </c>
      <c r="K9" s="313">
        <f t="shared" si="1"/>
        <v>26177.72</v>
      </c>
      <c r="L9" s="311">
        <v>0</v>
      </c>
      <c r="M9" s="311">
        <f t="shared" si="2"/>
        <v>26177.72</v>
      </c>
      <c r="N9" s="325">
        <f>K9*1.048</f>
        <v>27434.250560000004</v>
      </c>
      <c r="O9" s="325">
        <f>N9*1.044</f>
        <v>28641.357584640005</v>
      </c>
      <c r="P9" s="325">
        <f>O9*1.045</f>
        <v>29930.218675948803</v>
      </c>
      <c r="S9" s="515"/>
      <c r="T9" s="515"/>
      <c r="W9" s="860"/>
      <c r="X9" s="860"/>
    </row>
    <row r="10" spans="1:24" x14ac:dyDescent="0.25">
      <c r="A10" s="15" t="s">
        <v>286</v>
      </c>
      <c r="B10" s="240" t="s">
        <v>25</v>
      </c>
      <c r="C10" s="319"/>
      <c r="D10" s="856"/>
      <c r="E10" s="856"/>
      <c r="F10" s="320"/>
      <c r="G10" s="489">
        <f>12000+14400</f>
        <v>26400</v>
      </c>
      <c r="H10" s="489">
        <v>9000</v>
      </c>
      <c r="I10" s="489">
        <f t="shared" si="0"/>
        <v>17400</v>
      </c>
      <c r="J10" s="489">
        <f>6000-14400</f>
        <v>-8400</v>
      </c>
      <c r="K10" s="313">
        <f t="shared" si="1"/>
        <v>18000</v>
      </c>
      <c r="L10" s="311">
        <v>3000</v>
      </c>
      <c r="M10" s="311">
        <f t="shared" si="2"/>
        <v>21000</v>
      </c>
      <c r="N10" s="325">
        <v>72000</v>
      </c>
      <c r="O10" s="325">
        <f>42000+12000</f>
        <v>54000</v>
      </c>
      <c r="P10" s="325">
        <f>42000+12000</f>
        <v>54000</v>
      </c>
      <c r="S10" s="515"/>
      <c r="T10" s="515"/>
    </row>
    <row r="11" spans="1:24" x14ac:dyDescent="0.25">
      <c r="A11" s="15" t="s">
        <v>287</v>
      </c>
      <c r="B11" s="240" t="s">
        <v>27</v>
      </c>
      <c r="C11" s="319"/>
      <c r="D11" s="856"/>
      <c r="E11" s="856"/>
      <c r="F11" s="320"/>
      <c r="G11" s="489">
        <f>336132+185600</f>
        <v>521732</v>
      </c>
      <c r="H11" s="489">
        <v>201000.43</v>
      </c>
      <c r="I11" s="489">
        <f t="shared" si="0"/>
        <v>320731.57</v>
      </c>
      <c r="J11" s="489">
        <f>75721.36-185600</f>
        <v>-109878.64</v>
      </c>
      <c r="K11" s="313">
        <f t="shared" si="1"/>
        <v>411853.36</v>
      </c>
      <c r="L11" s="311">
        <v>68252</v>
      </c>
      <c r="M11" s="311">
        <f t="shared" si="2"/>
        <v>480105.36</v>
      </c>
      <c r="N11" s="325">
        <v>885063</v>
      </c>
      <c r="O11" s="325">
        <f>597453+273010</f>
        <v>870463</v>
      </c>
      <c r="P11" s="325">
        <f>597453+273010</f>
        <v>870463</v>
      </c>
      <c r="S11" s="515"/>
      <c r="T11" s="515"/>
    </row>
    <row r="12" spans="1:24" x14ac:dyDescent="0.25">
      <c r="A12" s="15" t="s">
        <v>289</v>
      </c>
      <c r="B12" s="240" t="s">
        <v>76</v>
      </c>
      <c r="C12" s="319"/>
      <c r="D12" s="856"/>
      <c r="E12" s="856"/>
      <c r="F12" s="320"/>
      <c r="G12" s="489">
        <v>11586</v>
      </c>
      <c r="H12" s="489">
        <v>0</v>
      </c>
      <c r="I12" s="489">
        <f t="shared" si="0"/>
        <v>11586</v>
      </c>
      <c r="J12" s="489">
        <v>-11586</v>
      </c>
      <c r="K12" s="313">
        <f t="shared" si="1"/>
        <v>0</v>
      </c>
      <c r="L12" s="311">
        <v>0</v>
      </c>
      <c r="M12" s="311">
        <f t="shared" si="2"/>
        <v>0</v>
      </c>
      <c r="N12" s="325">
        <v>34722</v>
      </c>
      <c r="O12" s="325">
        <v>0</v>
      </c>
      <c r="P12" s="325">
        <v>0</v>
      </c>
      <c r="S12" s="515"/>
      <c r="T12" s="515"/>
    </row>
    <row r="13" spans="1:24" x14ac:dyDescent="0.25">
      <c r="A13" s="15" t="s">
        <v>290</v>
      </c>
      <c r="B13" s="240" t="s">
        <v>29</v>
      </c>
      <c r="C13" s="319"/>
      <c r="D13" s="856"/>
      <c r="E13" s="856"/>
      <c r="F13" s="320"/>
      <c r="G13" s="489">
        <v>7200</v>
      </c>
      <c r="H13" s="489">
        <v>3600</v>
      </c>
      <c r="I13" s="489">
        <f t="shared" si="0"/>
        <v>3600</v>
      </c>
      <c r="J13" s="489">
        <v>0</v>
      </c>
      <c r="K13" s="313">
        <f t="shared" si="1"/>
        <v>7200</v>
      </c>
      <c r="L13" s="311">
        <v>0</v>
      </c>
      <c r="M13" s="311">
        <f t="shared" si="2"/>
        <v>7200</v>
      </c>
      <c r="N13" s="325">
        <v>14400</v>
      </c>
      <c r="O13" s="325">
        <v>14400</v>
      </c>
      <c r="P13" s="325">
        <v>14400</v>
      </c>
      <c r="S13" s="515"/>
      <c r="T13" s="515"/>
    </row>
    <row r="14" spans="1:24" x14ac:dyDescent="0.25">
      <c r="A14" s="15" t="s">
        <v>291</v>
      </c>
      <c r="B14" s="240" t="s">
        <v>31</v>
      </c>
      <c r="C14" s="319"/>
      <c r="D14" s="856"/>
      <c r="E14" s="856"/>
      <c r="F14" s="320"/>
      <c r="G14" s="489">
        <v>229640</v>
      </c>
      <c r="H14" s="489">
        <v>184890.11</v>
      </c>
      <c r="I14" s="489">
        <f t="shared" si="0"/>
        <v>44749.890000000014</v>
      </c>
      <c r="J14" s="489">
        <v>-16759.17571000001</v>
      </c>
      <c r="K14" s="313">
        <f t="shared" si="1"/>
        <v>212880.82428999999</v>
      </c>
      <c r="L14" s="311">
        <v>197133</v>
      </c>
      <c r="M14" s="311">
        <f t="shared" si="2"/>
        <v>410013.82429000002</v>
      </c>
      <c r="N14" s="325">
        <v>458511</v>
      </c>
      <c r="O14" s="325">
        <f>202290+215686</f>
        <v>417976</v>
      </c>
      <c r="P14" s="325">
        <f>211394+225392</f>
        <v>436786</v>
      </c>
      <c r="S14" s="515"/>
      <c r="T14" s="515"/>
    </row>
    <row r="15" spans="1:24" x14ac:dyDescent="0.25">
      <c r="A15" s="15" t="s">
        <v>354</v>
      </c>
      <c r="B15" s="242" t="s">
        <v>123</v>
      </c>
      <c r="C15" s="632"/>
      <c r="D15" s="833"/>
      <c r="E15" s="833"/>
      <c r="F15" s="397"/>
      <c r="G15" s="489">
        <v>17486.78</v>
      </c>
      <c r="H15" s="489">
        <v>0</v>
      </c>
      <c r="I15" s="489">
        <f t="shared" si="0"/>
        <v>17486.78</v>
      </c>
      <c r="J15" s="489">
        <v>0</v>
      </c>
      <c r="K15" s="313">
        <f t="shared" si="1"/>
        <v>17486.78</v>
      </c>
      <c r="L15" s="311">
        <v>0</v>
      </c>
      <c r="M15" s="311">
        <f t="shared" si="2"/>
        <v>17486.78</v>
      </c>
      <c r="N15" s="325">
        <f>K15*1.048</f>
        <v>18326.14544</v>
      </c>
      <c r="O15" s="325">
        <f>N15*1.044</f>
        <v>19132.495839360003</v>
      </c>
      <c r="P15" s="325">
        <f>O15*1.045</f>
        <v>19993.458152131203</v>
      </c>
      <c r="S15" s="515"/>
      <c r="T15" s="515"/>
    </row>
    <row r="16" spans="1:24" x14ac:dyDescent="0.25">
      <c r="A16" s="15"/>
      <c r="B16" s="240" t="s">
        <v>545</v>
      </c>
      <c r="C16" s="319"/>
      <c r="D16" s="856"/>
      <c r="E16" s="856"/>
      <c r="F16" s="320"/>
      <c r="G16" s="544">
        <v>24295</v>
      </c>
      <c r="H16" s="544">
        <v>0</v>
      </c>
      <c r="I16" s="544">
        <f t="shared" si="0"/>
        <v>24295</v>
      </c>
      <c r="J16" s="544">
        <v>0</v>
      </c>
      <c r="K16" s="347">
        <f t="shared" si="1"/>
        <v>24295</v>
      </c>
      <c r="L16" s="311">
        <v>0</v>
      </c>
      <c r="M16" s="311">
        <f t="shared" si="2"/>
        <v>24295</v>
      </c>
      <c r="N16" s="325">
        <f>K16*1.048</f>
        <v>25461.16</v>
      </c>
      <c r="O16" s="326">
        <f>N16*1.044</f>
        <v>26581.45104</v>
      </c>
      <c r="P16" s="326">
        <f>O16*1.045</f>
        <v>27777.616336799998</v>
      </c>
      <c r="S16" s="515"/>
      <c r="T16" s="515"/>
    </row>
    <row r="17" spans="1:20" hidden="1" x14ac:dyDescent="0.25">
      <c r="A17" s="15" t="s">
        <v>360</v>
      </c>
      <c r="B17" s="705" t="s">
        <v>502</v>
      </c>
      <c r="C17" s="861"/>
      <c r="D17" s="862"/>
      <c r="E17" s="862"/>
      <c r="F17" s="863"/>
      <c r="G17" s="544"/>
      <c r="H17" s="544"/>
      <c r="I17" s="544"/>
      <c r="J17" s="544"/>
      <c r="K17" s="347"/>
      <c r="L17" s="345"/>
      <c r="M17" s="345"/>
      <c r="N17" s="485"/>
      <c r="O17" s="326"/>
      <c r="P17" s="326"/>
      <c r="S17" s="515"/>
      <c r="T17" s="515"/>
    </row>
    <row r="18" spans="1:20" x14ac:dyDescent="0.25">
      <c r="A18" s="131"/>
      <c r="C18" s="864"/>
      <c r="D18" s="865"/>
      <c r="E18" s="865"/>
      <c r="F18" s="866"/>
      <c r="G18" s="844">
        <f t="shared" ref="G18:P18" si="3">SUM(G7:G17)</f>
        <v>4719361.78</v>
      </c>
      <c r="H18" s="844">
        <f t="shared" si="3"/>
        <v>1649214.9500000002</v>
      </c>
      <c r="I18" s="844">
        <f t="shared" si="3"/>
        <v>3070146.83</v>
      </c>
      <c r="J18" s="844">
        <f t="shared" si="3"/>
        <v>-1394765.78143</v>
      </c>
      <c r="K18" s="844">
        <f t="shared" si="3"/>
        <v>3324595.9985699998</v>
      </c>
      <c r="L18" s="331">
        <f t="shared" si="3"/>
        <v>859724</v>
      </c>
      <c r="M18" s="331">
        <f t="shared" si="3"/>
        <v>4184319.9985699998</v>
      </c>
      <c r="N18" s="414">
        <f t="shared" si="3"/>
        <v>7985909.5559999999</v>
      </c>
      <c r="O18" s="478">
        <f t="shared" si="3"/>
        <v>7436477.3044640003</v>
      </c>
      <c r="P18" s="594">
        <f t="shared" si="3"/>
        <v>7728871.29316488</v>
      </c>
      <c r="S18" s="515"/>
      <c r="T18" s="515"/>
    </row>
    <row r="19" spans="1:20" x14ac:dyDescent="0.25">
      <c r="A19" s="131"/>
      <c r="C19" s="864"/>
      <c r="D19" s="865"/>
      <c r="E19" s="865"/>
      <c r="F19" s="866"/>
      <c r="G19" s="489"/>
      <c r="N19" s="418"/>
      <c r="O19" s="336"/>
      <c r="P19" s="336"/>
      <c r="S19" s="515"/>
      <c r="T19" s="515"/>
    </row>
    <row r="20" spans="1:20" x14ac:dyDescent="0.25">
      <c r="A20" s="15" t="s">
        <v>280</v>
      </c>
      <c r="B20" s="240" t="s">
        <v>13</v>
      </c>
      <c r="C20" s="319"/>
      <c r="D20" s="856"/>
      <c r="E20" s="856"/>
      <c r="F20" s="774"/>
      <c r="G20" s="341">
        <v>600</v>
      </c>
      <c r="H20" s="339">
        <v>244.8</v>
      </c>
      <c r="I20" s="339">
        <f>SUM(G20-H20)</f>
        <v>355.2</v>
      </c>
      <c r="J20" s="339">
        <v>-105.59999999999997</v>
      </c>
      <c r="K20" s="339">
        <f>SUM(G20+J20)</f>
        <v>494.40000000000003</v>
      </c>
      <c r="L20" s="339">
        <v>210</v>
      </c>
      <c r="M20" s="339">
        <f>K20+L20</f>
        <v>704.40000000000009</v>
      </c>
      <c r="N20" s="359">
        <v>1978</v>
      </c>
      <c r="O20" s="344">
        <f>494+840</f>
        <v>1334</v>
      </c>
      <c r="P20" s="344">
        <f>494+840</f>
        <v>1334</v>
      </c>
      <c r="S20" s="515"/>
      <c r="T20" s="515"/>
    </row>
    <row r="21" spans="1:20" x14ac:dyDescent="0.25">
      <c r="A21" s="15" t="s">
        <v>281</v>
      </c>
      <c r="B21" s="240" t="s">
        <v>15</v>
      </c>
      <c r="C21" s="319"/>
      <c r="D21" s="856"/>
      <c r="E21" s="856"/>
      <c r="F21" s="774"/>
      <c r="G21" s="313">
        <v>286329</v>
      </c>
      <c r="H21" s="311">
        <v>131311.6</v>
      </c>
      <c r="I21" s="311">
        <f t="shared" ref="I21:I23" si="4">SUM(G21-H21)</f>
        <v>155017.4</v>
      </c>
      <c r="J21" s="311">
        <v>15338.520000000019</v>
      </c>
      <c r="K21" s="311">
        <f t="shared" ref="K21:K23" si="5">SUM(G21+J21)</f>
        <v>301667.52</v>
      </c>
      <c r="L21" s="311">
        <v>59140</v>
      </c>
      <c r="M21" s="311">
        <f t="shared" ref="M21:M23" si="6">K21+L21</f>
        <v>360807.52</v>
      </c>
      <c r="N21" s="325">
        <v>715458</v>
      </c>
      <c r="O21" s="238">
        <f>344438+238925</f>
        <v>583363</v>
      </c>
      <c r="P21" s="238">
        <f>378881+238925</f>
        <v>617806</v>
      </c>
      <c r="S21" s="515"/>
      <c r="T21" s="515"/>
    </row>
    <row r="22" spans="1:20" x14ac:dyDescent="0.25">
      <c r="A22" s="15" t="s">
        <v>282</v>
      </c>
      <c r="B22" s="240" t="s">
        <v>17</v>
      </c>
      <c r="C22" s="319"/>
      <c r="D22" s="856"/>
      <c r="E22" s="856"/>
      <c r="F22" s="774"/>
      <c r="G22" s="313">
        <f>452316+76992</f>
        <v>529308</v>
      </c>
      <c r="H22" s="311">
        <v>196777.44</v>
      </c>
      <c r="I22" s="311">
        <f t="shared" si="4"/>
        <v>332530.56</v>
      </c>
      <c r="J22" s="311">
        <v>-113371.65492000006</v>
      </c>
      <c r="K22" s="311">
        <f t="shared" si="5"/>
        <v>415936.34507999994</v>
      </c>
      <c r="L22" s="311">
        <v>106452</v>
      </c>
      <c r="M22" s="311">
        <f t="shared" si="6"/>
        <v>522388.34507999994</v>
      </c>
      <c r="N22" s="325">
        <v>991390</v>
      </c>
      <c r="O22" s="238">
        <f>437999+465881</f>
        <v>903880</v>
      </c>
      <c r="P22" s="238">
        <f>457709+486846</f>
        <v>944555</v>
      </c>
      <c r="S22" s="515"/>
      <c r="T22" s="515"/>
    </row>
    <row r="23" spans="1:20" x14ac:dyDescent="0.25">
      <c r="A23" s="15" t="s">
        <v>283</v>
      </c>
      <c r="B23" s="240" t="s">
        <v>19</v>
      </c>
      <c r="C23" s="319"/>
      <c r="D23" s="856"/>
      <c r="E23" s="856"/>
      <c r="F23" s="774"/>
      <c r="G23" s="313">
        <v>11323</v>
      </c>
      <c r="H23" s="311">
        <v>4769.28</v>
      </c>
      <c r="I23" s="311">
        <f t="shared" si="4"/>
        <v>6553.72</v>
      </c>
      <c r="J23" s="311">
        <v>-1784.4400000000005</v>
      </c>
      <c r="K23" s="311">
        <f t="shared" si="5"/>
        <v>9538.56</v>
      </c>
      <c r="L23" s="311">
        <v>3129</v>
      </c>
      <c r="M23" s="311">
        <f t="shared" si="6"/>
        <v>12667.56</v>
      </c>
      <c r="N23" s="325">
        <v>28558</v>
      </c>
      <c r="O23" s="348">
        <f>7139+12516</f>
        <v>19655</v>
      </c>
      <c r="P23" s="238">
        <f>7139+12516</f>
        <v>19655</v>
      </c>
      <c r="S23" s="515"/>
      <c r="T23" s="515"/>
    </row>
    <row r="24" spans="1:20" x14ac:dyDescent="0.25">
      <c r="A24" s="131"/>
      <c r="C24" s="864"/>
      <c r="D24" s="865"/>
      <c r="E24" s="865"/>
      <c r="F24" s="866"/>
      <c r="G24" s="331">
        <f t="shared" ref="G24:P24" si="7">SUM(G20:G23)</f>
        <v>827560</v>
      </c>
      <c r="H24" s="331">
        <f t="shared" si="7"/>
        <v>333103.12</v>
      </c>
      <c r="I24" s="331">
        <f t="shared" si="7"/>
        <v>494456.88</v>
      </c>
      <c r="J24" s="331">
        <f t="shared" si="7"/>
        <v>-99923.174920000049</v>
      </c>
      <c r="K24" s="331">
        <f t="shared" si="7"/>
        <v>727636.8250800001</v>
      </c>
      <c r="L24" s="331">
        <f t="shared" si="7"/>
        <v>168931</v>
      </c>
      <c r="M24" s="331">
        <f t="shared" si="7"/>
        <v>896567.8250800001</v>
      </c>
      <c r="N24" s="414">
        <f t="shared" si="7"/>
        <v>1737384</v>
      </c>
      <c r="O24" s="414">
        <f t="shared" si="7"/>
        <v>1508232</v>
      </c>
      <c r="P24" s="414">
        <f t="shared" si="7"/>
        <v>1583350</v>
      </c>
      <c r="S24" s="192"/>
    </row>
    <row r="25" spans="1:20" x14ac:dyDescent="0.25">
      <c r="A25" s="131"/>
      <c r="C25" s="319"/>
      <c r="D25" s="856"/>
      <c r="E25" s="856"/>
      <c r="F25" s="774"/>
      <c r="G25" s="489"/>
      <c r="N25" s="370"/>
      <c r="O25" s="336"/>
      <c r="P25" s="336"/>
    </row>
    <row r="26" spans="1:20" ht="16.5" thickBot="1" x14ac:dyDescent="0.3">
      <c r="A26" s="131"/>
      <c r="C26" s="867"/>
      <c r="D26" s="868"/>
      <c r="E26" s="868"/>
      <c r="F26" s="869"/>
      <c r="G26" s="487">
        <f t="shared" ref="G26:P26" si="8">G18+G24</f>
        <v>5546921.7800000003</v>
      </c>
      <c r="H26" s="353">
        <f t="shared" si="8"/>
        <v>1982318.0700000003</v>
      </c>
      <c r="I26" s="353">
        <f t="shared" si="8"/>
        <v>3564603.71</v>
      </c>
      <c r="J26" s="353">
        <f t="shared" si="8"/>
        <v>-1494688.9563500001</v>
      </c>
      <c r="K26" s="353">
        <f t="shared" si="8"/>
        <v>4052232.8236499997</v>
      </c>
      <c r="L26" s="353">
        <f t="shared" si="8"/>
        <v>1028655</v>
      </c>
      <c r="M26" s="353">
        <f t="shared" si="8"/>
        <v>5080887.8236499997</v>
      </c>
      <c r="N26" s="838">
        <f t="shared" si="8"/>
        <v>9723293.5559999999</v>
      </c>
      <c r="O26" s="354">
        <f t="shared" si="8"/>
        <v>8944709.3044640012</v>
      </c>
      <c r="P26" s="354">
        <f t="shared" si="8"/>
        <v>9312221.2931648791</v>
      </c>
      <c r="R26" s="870"/>
    </row>
    <row r="27" spans="1:20" x14ac:dyDescent="0.25">
      <c r="A27" s="131"/>
      <c r="C27" s="319"/>
      <c r="D27" s="856"/>
      <c r="E27" s="856"/>
      <c r="F27" s="774"/>
      <c r="G27" s="489"/>
      <c r="N27" s="418"/>
      <c r="O27" s="336"/>
      <c r="P27" s="336"/>
    </row>
    <row r="28" spans="1:20" x14ac:dyDescent="0.25">
      <c r="A28" s="131"/>
      <c r="B28" s="393" t="s">
        <v>559</v>
      </c>
      <c r="C28" s="319"/>
      <c r="D28" s="856"/>
      <c r="E28" s="856"/>
      <c r="F28" s="774"/>
      <c r="G28" s="489"/>
      <c r="N28" s="418"/>
      <c r="O28" s="336"/>
      <c r="P28" s="336"/>
    </row>
    <row r="29" spans="1:20" x14ac:dyDescent="0.25">
      <c r="A29" s="16" t="s">
        <v>355</v>
      </c>
      <c r="B29" s="16" t="s">
        <v>319</v>
      </c>
      <c r="C29" s="790"/>
      <c r="D29" s="871"/>
      <c r="E29" s="871"/>
      <c r="F29" s="872"/>
      <c r="G29" s="435">
        <v>4925.45</v>
      </c>
      <c r="H29" s="340">
        <v>3988.08</v>
      </c>
      <c r="I29" s="340">
        <f>SUM(G29-H29)</f>
        <v>937.36999999999989</v>
      </c>
      <c r="J29" s="340">
        <v>7604</v>
      </c>
      <c r="K29" s="435">
        <f>SUM(G29+J29)</f>
        <v>12529.45</v>
      </c>
      <c r="L29" s="341"/>
      <c r="M29" s="340"/>
      <c r="N29" s="344">
        <f>K29*1.048</f>
        <v>13130.863600000001</v>
      </c>
      <c r="O29" s="344">
        <f>N29*1.044</f>
        <v>13708.621598400001</v>
      </c>
      <c r="P29" s="344">
        <f>O29*1.045</f>
        <v>14325.509570328</v>
      </c>
    </row>
    <row r="30" spans="1:20" s="509" customFormat="1" x14ac:dyDescent="0.25">
      <c r="A30" s="190" t="s">
        <v>356</v>
      </c>
      <c r="B30" s="190" t="s">
        <v>321</v>
      </c>
      <c r="C30" s="873"/>
      <c r="D30" s="874"/>
      <c r="E30" s="874"/>
      <c r="F30" s="875"/>
      <c r="G30" s="237"/>
      <c r="H30" s="239">
        <v>121.09</v>
      </c>
      <c r="I30" s="239">
        <f t="shared" ref="I30:I31" si="9">SUM(G30-H30)</f>
        <v>-121.09</v>
      </c>
      <c r="J30" s="239">
        <v>121</v>
      </c>
      <c r="K30" s="237">
        <f t="shared" ref="K30:K31" si="10">SUM(G30+J30)</f>
        <v>121</v>
      </c>
      <c r="L30" s="238"/>
      <c r="M30" s="239"/>
      <c r="N30" s="238">
        <f t="shared" ref="N30:N31" si="11">K30*1.048</f>
        <v>126.80800000000001</v>
      </c>
      <c r="O30" s="238">
        <f t="shared" ref="O30:O31" si="12">N30*1.044</f>
        <v>132.387552</v>
      </c>
      <c r="P30" s="238">
        <f t="shared" ref="P30:P31" si="13">O30*1.045</f>
        <v>138.34499183999998</v>
      </c>
      <c r="Q30" s="192"/>
      <c r="R30" s="192"/>
    </row>
    <row r="31" spans="1:20" s="509" customFormat="1" x14ac:dyDescent="0.25">
      <c r="A31" s="190"/>
      <c r="B31" s="190" t="s">
        <v>1026</v>
      </c>
      <c r="C31" s="876"/>
      <c r="D31" s="877"/>
      <c r="E31" s="877"/>
      <c r="F31" s="878"/>
      <c r="G31" s="237"/>
      <c r="H31" s="239">
        <v>2981.7</v>
      </c>
      <c r="I31" s="239">
        <f t="shared" si="9"/>
        <v>-2981.7</v>
      </c>
      <c r="J31" s="239">
        <v>2982</v>
      </c>
      <c r="K31" s="538">
        <f t="shared" si="10"/>
        <v>2982</v>
      </c>
      <c r="L31" s="348"/>
      <c r="M31" s="239"/>
      <c r="N31" s="238">
        <f t="shared" si="11"/>
        <v>3125.136</v>
      </c>
      <c r="O31" s="348">
        <f t="shared" si="12"/>
        <v>3262.6419839999999</v>
      </c>
      <c r="P31" s="348">
        <f t="shared" si="13"/>
        <v>3409.4608732799998</v>
      </c>
      <c r="Q31" s="192"/>
      <c r="R31" s="192"/>
    </row>
    <row r="32" spans="1:20" x14ac:dyDescent="0.25">
      <c r="A32" s="131"/>
      <c r="C32" s="864"/>
      <c r="D32" s="865"/>
      <c r="E32" s="865"/>
      <c r="F32" s="866"/>
      <c r="G32" s="434">
        <f t="shared" ref="G32:P32" si="14">SUM(G29:G31)</f>
        <v>4925.45</v>
      </c>
      <c r="H32" s="434">
        <f t="shared" si="14"/>
        <v>7090.87</v>
      </c>
      <c r="I32" s="434">
        <f t="shared" si="14"/>
        <v>-2165.42</v>
      </c>
      <c r="J32" s="434">
        <f t="shared" si="14"/>
        <v>10707</v>
      </c>
      <c r="K32" s="434">
        <f t="shared" si="14"/>
        <v>15632.45</v>
      </c>
      <c r="L32" s="434">
        <f t="shared" si="14"/>
        <v>0</v>
      </c>
      <c r="M32" s="434">
        <f t="shared" si="14"/>
        <v>0</v>
      </c>
      <c r="N32" s="414">
        <f t="shared" si="14"/>
        <v>16382.807600000002</v>
      </c>
      <c r="O32" s="349">
        <f t="shared" si="14"/>
        <v>17103.651134400003</v>
      </c>
      <c r="P32" s="414">
        <f t="shared" si="14"/>
        <v>17873.315435447999</v>
      </c>
    </row>
    <row r="33" spans="1:19" x14ac:dyDescent="0.25">
      <c r="A33" s="132"/>
      <c r="C33" s="864"/>
      <c r="D33" s="865"/>
      <c r="E33" s="865"/>
      <c r="F33" s="866"/>
      <c r="G33" s="489"/>
      <c r="N33" s="418"/>
      <c r="O33" s="336"/>
      <c r="P33" s="336"/>
    </row>
    <row r="34" spans="1:19" x14ac:dyDescent="0.25">
      <c r="A34" s="133" t="s">
        <v>275</v>
      </c>
      <c r="B34" s="15" t="s">
        <v>5</v>
      </c>
      <c r="C34" s="315" t="s">
        <v>835</v>
      </c>
      <c r="D34" s="879" t="s">
        <v>1047</v>
      </c>
      <c r="E34" s="879" t="s">
        <v>1048</v>
      </c>
      <c r="F34" s="811" t="s">
        <v>1049</v>
      </c>
      <c r="G34" s="344">
        <f>G26*1/100</f>
        <v>55469.217800000006</v>
      </c>
      <c r="H34" s="342">
        <v>16514.759999999998</v>
      </c>
      <c r="I34" s="344">
        <f t="shared" ref="I34:I54" si="15">SUM(G34-H34)</f>
        <v>38954.457800000004</v>
      </c>
      <c r="J34" s="344">
        <v>0</v>
      </c>
      <c r="K34" s="342">
        <f t="shared" ref="K34:K53" si="16">SUM(G34+J34)</f>
        <v>55469.217800000006</v>
      </c>
      <c r="L34" s="343"/>
      <c r="M34" s="344">
        <f>K34+L34</f>
        <v>55469.217800000006</v>
      </c>
      <c r="N34" s="344">
        <f>N26*1/100</f>
        <v>97232.935559999998</v>
      </c>
      <c r="O34" s="344">
        <f>O26*1/100</f>
        <v>89447.093044640016</v>
      </c>
      <c r="P34" s="359">
        <f>P26*1/100</f>
        <v>93122.212931648784</v>
      </c>
    </row>
    <row r="35" spans="1:19" ht="18.75" customHeight="1" x14ac:dyDescent="0.25">
      <c r="A35" s="133" t="s">
        <v>276</v>
      </c>
      <c r="B35" s="191" t="s">
        <v>278</v>
      </c>
      <c r="C35" s="243"/>
      <c r="D35" s="880"/>
      <c r="E35" s="880"/>
      <c r="F35" s="808"/>
      <c r="G35" s="238">
        <v>4000000</v>
      </c>
      <c r="H35" s="239">
        <v>1739130.19</v>
      </c>
      <c r="I35" s="238">
        <f t="shared" si="15"/>
        <v>2260869.81</v>
      </c>
      <c r="J35" s="238">
        <v>0</v>
      </c>
      <c r="K35" s="239">
        <f t="shared" si="16"/>
        <v>4000000</v>
      </c>
      <c r="L35" s="901">
        <v>8000000</v>
      </c>
      <c r="M35" s="238">
        <f t="shared" ref="M35:M66" si="17">K35+L35</f>
        <v>12000000</v>
      </c>
      <c r="N35" s="238">
        <v>5000000</v>
      </c>
      <c r="O35" s="238">
        <v>4000000</v>
      </c>
      <c r="P35" s="238">
        <v>0</v>
      </c>
    </row>
    <row r="36" spans="1:19" ht="18.2" customHeight="1" x14ac:dyDescent="0.25">
      <c r="A36" s="133" t="s">
        <v>364</v>
      </c>
      <c r="B36" s="191" t="s">
        <v>293</v>
      </c>
      <c r="C36" s="730" t="s">
        <v>1044</v>
      </c>
      <c r="D36" s="880" t="s">
        <v>1034</v>
      </c>
      <c r="E36" s="739" t="s">
        <v>1033</v>
      </c>
      <c r="F36" s="881" t="s">
        <v>1035</v>
      </c>
      <c r="G36" s="238">
        <v>5048000</v>
      </c>
      <c r="H36" s="239">
        <v>2462877.7000000002</v>
      </c>
      <c r="I36" s="238">
        <f t="shared" si="15"/>
        <v>2585122.2999999998</v>
      </c>
      <c r="J36" s="238">
        <v>0</v>
      </c>
      <c r="K36" s="239">
        <f t="shared" si="16"/>
        <v>5048000</v>
      </c>
      <c r="L36" s="237"/>
      <c r="M36" s="238">
        <f t="shared" si="17"/>
        <v>5048000</v>
      </c>
      <c r="N36" s="238">
        <f>5356000-N25</f>
        <v>5356000</v>
      </c>
      <c r="O36" s="238">
        <v>0</v>
      </c>
      <c r="P36" s="238">
        <v>0</v>
      </c>
    </row>
    <row r="37" spans="1:19" x14ac:dyDescent="0.25">
      <c r="A37" s="133" t="s">
        <v>359</v>
      </c>
      <c r="B37" s="191" t="s">
        <v>921</v>
      </c>
      <c r="C37" s="243"/>
      <c r="D37" s="880"/>
      <c r="E37" s="880"/>
      <c r="F37" s="808"/>
      <c r="G37" s="238"/>
      <c r="H37" s="239">
        <v>0</v>
      </c>
      <c r="I37" s="238">
        <f t="shared" si="15"/>
        <v>0</v>
      </c>
      <c r="J37" s="238">
        <v>0</v>
      </c>
      <c r="K37" s="239">
        <f t="shared" si="16"/>
        <v>0</v>
      </c>
      <c r="L37" s="237"/>
      <c r="M37" s="238">
        <f t="shared" si="17"/>
        <v>0</v>
      </c>
      <c r="N37" s="238"/>
      <c r="O37" s="238"/>
      <c r="P37" s="238"/>
    </row>
    <row r="38" spans="1:19" x14ac:dyDescent="0.25">
      <c r="A38" s="133" t="s">
        <v>277</v>
      </c>
      <c r="B38" s="191" t="s">
        <v>1021</v>
      </c>
      <c r="C38" s="730" t="s">
        <v>1052</v>
      </c>
      <c r="D38" s="880" t="s">
        <v>1057</v>
      </c>
      <c r="E38" s="880"/>
      <c r="F38" s="808"/>
      <c r="G38" s="238">
        <v>155850</v>
      </c>
      <c r="H38" s="239">
        <v>173600</v>
      </c>
      <c r="I38" s="238">
        <f t="shared" si="15"/>
        <v>-17750</v>
      </c>
      <c r="J38" s="238">
        <v>650000</v>
      </c>
      <c r="K38" s="239">
        <f t="shared" si="16"/>
        <v>805850</v>
      </c>
      <c r="L38" s="237"/>
      <c r="M38" s="238">
        <f t="shared" si="17"/>
        <v>805850</v>
      </c>
      <c r="N38" s="238">
        <v>500000</v>
      </c>
      <c r="O38" s="238">
        <f>N38*1.044</f>
        <v>522000</v>
      </c>
      <c r="P38" s="238">
        <f>400000</f>
        <v>400000</v>
      </c>
    </row>
    <row r="39" spans="1:19" x14ac:dyDescent="0.25">
      <c r="A39" s="133" t="s">
        <v>361</v>
      </c>
      <c r="B39" s="191" t="s">
        <v>920</v>
      </c>
      <c r="C39" s="243"/>
      <c r="D39" s="880"/>
      <c r="E39" s="880"/>
      <c r="F39" s="808"/>
      <c r="G39" s="238"/>
      <c r="H39" s="239">
        <v>0</v>
      </c>
      <c r="I39" s="238">
        <f t="shared" si="15"/>
        <v>0</v>
      </c>
      <c r="J39" s="238">
        <v>0</v>
      </c>
      <c r="K39" s="239">
        <f t="shared" si="16"/>
        <v>0</v>
      </c>
      <c r="L39" s="237"/>
      <c r="M39" s="238">
        <f t="shared" si="17"/>
        <v>0</v>
      </c>
      <c r="N39" s="238"/>
      <c r="O39" s="238"/>
      <c r="P39" s="238"/>
    </row>
    <row r="40" spans="1:19" ht="18.2" customHeight="1" x14ac:dyDescent="0.25">
      <c r="A40" s="133" t="s">
        <v>841</v>
      </c>
      <c r="B40" s="15" t="s">
        <v>536</v>
      </c>
      <c r="C40" s="882" t="s">
        <v>1044</v>
      </c>
      <c r="D40" s="879" t="s">
        <v>1045</v>
      </c>
      <c r="E40" s="883" t="s">
        <v>1046</v>
      </c>
      <c r="F40" s="884" t="s">
        <v>1039</v>
      </c>
      <c r="G40" s="238">
        <v>500000</v>
      </c>
      <c r="H40" s="239"/>
      <c r="I40" s="238">
        <f t="shared" si="15"/>
        <v>500000</v>
      </c>
      <c r="J40" s="238">
        <v>0</v>
      </c>
      <c r="K40" s="239">
        <f t="shared" si="16"/>
        <v>500000</v>
      </c>
      <c r="L40" s="237"/>
      <c r="M40" s="238">
        <f t="shared" si="17"/>
        <v>500000</v>
      </c>
      <c r="N40" s="238">
        <v>533250</v>
      </c>
      <c r="O40" s="238">
        <v>0</v>
      </c>
      <c r="P40" s="238">
        <v>0</v>
      </c>
    </row>
    <row r="41" spans="1:19" s="509" customFormat="1" ht="31.7" hidden="1" customHeight="1" x14ac:dyDescent="0.25">
      <c r="A41" s="184" t="s">
        <v>841</v>
      </c>
      <c r="B41" s="15" t="s">
        <v>357</v>
      </c>
      <c r="C41" s="882" t="s">
        <v>1041</v>
      </c>
      <c r="D41" s="883" t="s">
        <v>1037</v>
      </c>
      <c r="E41" s="879" t="s">
        <v>576</v>
      </c>
      <c r="F41" s="883" t="s">
        <v>1039</v>
      </c>
      <c r="G41" s="238"/>
      <c r="H41" s="237">
        <v>0</v>
      </c>
      <c r="I41" s="238">
        <f t="shared" si="15"/>
        <v>0</v>
      </c>
      <c r="J41" s="238">
        <v>0</v>
      </c>
      <c r="K41" s="239">
        <f t="shared" si="16"/>
        <v>0</v>
      </c>
      <c r="L41" s="237"/>
      <c r="M41" s="238">
        <f t="shared" si="17"/>
        <v>0</v>
      </c>
      <c r="N41" s="238">
        <v>0</v>
      </c>
      <c r="O41" s="238">
        <v>0</v>
      </c>
      <c r="P41" s="238">
        <v>0</v>
      </c>
      <c r="Q41" s="192"/>
      <c r="R41" s="192"/>
      <c r="S41" s="698"/>
    </row>
    <row r="42" spans="1:19" ht="18.95" customHeight="1" x14ac:dyDescent="0.25">
      <c r="A42" s="133" t="s">
        <v>284</v>
      </c>
      <c r="B42" s="191" t="s">
        <v>1036</v>
      </c>
      <c r="C42" s="730" t="s">
        <v>1041</v>
      </c>
      <c r="D42" s="880" t="s">
        <v>1037</v>
      </c>
      <c r="E42" s="880" t="s">
        <v>1040</v>
      </c>
      <c r="F42" s="881" t="s">
        <v>1039</v>
      </c>
      <c r="G42" s="238"/>
      <c r="H42" s="237"/>
      <c r="I42" s="238">
        <f t="shared" si="15"/>
        <v>0</v>
      </c>
      <c r="J42" s="238">
        <v>0</v>
      </c>
      <c r="K42" s="239">
        <f t="shared" si="16"/>
        <v>0</v>
      </c>
      <c r="L42" s="237"/>
      <c r="M42" s="238">
        <f t="shared" si="17"/>
        <v>0</v>
      </c>
      <c r="N42" s="238">
        <v>20324.29</v>
      </c>
      <c r="O42" s="238">
        <v>20324.29</v>
      </c>
      <c r="P42" s="238">
        <v>21675.86</v>
      </c>
    </row>
    <row r="43" spans="1:19" s="509" customFormat="1" ht="18.95" customHeight="1" x14ac:dyDescent="0.25">
      <c r="A43" s="184" t="s">
        <v>285</v>
      </c>
      <c r="B43" s="191" t="s">
        <v>575</v>
      </c>
      <c r="C43" s="730" t="s">
        <v>1041</v>
      </c>
      <c r="D43" s="880" t="s">
        <v>1037</v>
      </c>
      <c r="E43" s="880" t="s">
        <v>1042</v>
      </c>
      <c r="F43" s="881" t="s">
        <v>1039</v>
      </c>
      <c r="G43" s="238"/>
      <c r="H43" s="237"/>
      <c r="I43" s="238">
        <f t="shared" si="15"/>
        <v>0</v>
      </c>
      <c r="J43" s="238">
        <v>0</v>
      </c>
      <c r="K43" s="239">
        <f t="shared" si="16"/>
        <v>0</v>
      </c>
      <c r="L43" s="237"/>
      <c r="M43" s="238">
        <f t="shared" si="17"/>
        <v>0</v>
      </c>
      <c r="N43" s="238">
        <v>20324.29</v>
      </c>
      <c r="O43" s="238">
        <v>20324.29</v>
      </c>
      <c r="P43" s="238">
        <v>21675.86</v>
      </c>
      <c r="Q43" s="192"/>
      <c r="R43" s="192"/>
    </row>
    <row r="44" spans="1:19" ht="18.2" customHeight="1" x14ac:dyDescent="0.25">
      <c r="A44" s="133" t="s">
        <v>537</v>
      </c>
      <c r="B44" s="191" t="s">
        <v>840</v>
      </c>
      <c r="C44" s="730" t="s">
        <v>1041</v>
      </c>
      <c r="D44" s="880" t="s">
        <v>1037</v>
      </c>
      <c r="E44" s="880" t="s">
        <v>1043</v>
      </c>
      <c r="F44" s="881" t="s">
        <v>1039</v>
      </c>
      <c r="G44" s="238"/>
      <c r="H44" s="237"/>
      <c r="I44" s="238">
        <f t="shared" si="15"/>
        <v>0</v>
      </c>
      <c r="J44" s="238">
        <v>0</v>
      </c>
      <c r="K44" s="239">
        <f t="shared" si="16"/>
        <v>0</v>
      </c>
      <c r="L44" s="237"/>
      <c r="M44" s="238">
        <f t="shared" si="17"/>
        <v>0</v>
      </c>
      <c r="N44" s="238">
        <v>20324.29</v>
      </c>
      <c r="O44" s="238">
        <v>20324.29</v>
      </c>
      <c r="P44" s="238">
        <v>21675.86</v>
      </c>
    </row>
    <row r="45" spans="1:19" s="509" customFormat="1" ht="18.75" customHeight="1" x14ac:dyDescent="0.25">
      <c r="A45" s="184" t="s">
        <v>288</v>
      </c>
      <c r="B45" s="242" t="s">
        <v>362</v>
      </c>
      <c r="C45" s="703" t="s">
        <v>1041</v>
      </c>
      <c r="D45" s="739" t="s">
        <v>1037</v>
      </c>
      <c r="E45" s="833" t="s">
        <v>1050</v>
      </c>
      <c r="F45" s="885" t="s">
        <v>1039</v>
      </c>
      <c r="G45" s="238"/>
      <c r="H45" s="237"/>
      <c r="I45" s="238">
        <f t="shared" si="15"/>
        <v>0</v>
      </c>
      <c r="J45" s="238">
        <v>0</v>
      </c>
      <c r="K45" s="239">
        <f t="shared" si="16"/>
        <v>0</v>
      </c>
      <c r="L45" s="237"/>
      <c r="M45" s="238">
        <f t="shared" si="17"/>
        <v>0</v>
      </c>
      <c r="N45" s="238">
        <v>53325</v>
      </c>
      <c r="O45" s="238">
        <v>53325</v>
      </c>
      <c r="P45" s="238">
        <v>56871.11</v>
      </c>
      <c r="Q45" s="192"/>
      <c r="R45" s="192"/>
    </row>
    <row r="46" spans="1:19" x14ac:dyDescent="0.25">
      <c r="A46" s="133" t="s">
        <v>363</v>
      </c>
      <c r="B46" s="15" t="s">
        <v>295</v>
      </c>
      <c r="C46" s="315" t="s">
        <v>1053</v>
      </c>
      <c r="D46" s="879"/>
      <c r="E46" s="879"/>
      <c r="F46" s="811"/>
      <c r="G46" s="238">
        <v>2458000</v>
      </c>
      <c r="H46" s="239">
        <v>869972.22</v>
      </c>
      <c r="I46" s="238">
        <f t="shared" si="15"/>
        <v>1588027.78</v>
      </c>
      <c r="J46" s="238">
        <v>0</v>
      </c>
      <c r="K46" s="239">
        <f t="shared" si="16"/>
        <v>2458000</v>
      </c>
      <c r="L46" s="237"/>
      <c r="M46" s="238">
        <f t="shared" si="17"/>
        <v>2458000</v>
      </c>
      <c r="N46" s="238">
        <v>2573000</v>
      </c>
      <c r="O46" s="238">
        <v>2583000</v>
      </c>
      <c r="P46" s="238">
        <v>2677000</v>
      </c>
    </row>
    <row r="47" spans="1:19" ht="31.5" hidden="1" x14ac:dyDescent="0.25">
      <c r="A47" s="133" t="s">
        <v>292</v>
      </c>
      <c r="B47" s="15" t="s">
        <v>578</v>
      </c>
      <c r="C47" s="882" t="s">
        <v>1051</v>
      </c>
      <c r="D47" s="879"/>
      <c r="E47" s="879"/>
      <c r="F47" s="811"/>
      <c r="G47" s="238"/>
      <c r="H47" s="239">
        <v>0</v>
      </c>
      <c r="I47" s="238">
        <f t="shared" si="15"/>
        <v>0</v>
      </c>
      <c r="J47" s="238">
        <v>0</v>
      </c>
      <c r="K47" s="239">
        <f t="shared" si="16"/>
        <v>0</v>
      </c>
      <c r="L47" s="237"/>
      <c r="M47" s="238">
        <f t="shared" si="17"/>
        <v>0</v>
      </c>
      <c r="N47" s="238">
        <v>0</v>
      </c>
      <c r="O47" s="238">
        <v>0</v>
      </c>
      <c r="P47" s="238">
        <v>0</v>
      </c>
    </row>
    <row r="48" spans="1:19" x14ac:dyDescent="0.25">
      <c r="A48" s="133" t="s">
        <v>358</v>
      </c>
      <c r="B48" s="191" t="s">
        <v>21</v>
      </c>
      <c r="C48" s="730" t="s">
        <v>1052</v>
      </c>
      <c r="D48" s="833" t="s">
        <v>1047</v>
      </c>
      <c r="E48" s="880"/>
      <c r="F48" s="808"/>
      <c r="G48" s="238">
        <v>78383</v>
      </c>
      <c r="H48" s="239">
        <v>20878.13</v>
      </c>
      <c r="I48" s="238">
        <f t="shared" si="15"/>
        <v>57504.869999999995</v>
      </c>
      <c r="J48" s="238">
        <v>40000</v>
      </c>
      <c r="K48" s="239">
        <f t="shared" si="16"/>
        <v>118383</v>
      </c>
      <c r="L48" s="237"/>
      <c r="M48" s="238">
        <f t="shared" si="17"/>
        <v>118383</v>
      </c>
      <c r="N48" s="238">
        <f>218036.8-68950</f>
        <v>149086.79999999999</v>
      </c>
      <c r="O48" s="238">
        <f>N48*1.044</f>
        <v>155646.61919999999</v>
      </c>
      <c r="P48" s="238">
        <f>O48*1.045</f>
        <v>162650.71706399997</v>
      </c>
    </row>
    <row r="49" spans="1:18" ht="18" customHeight="1" x14ac:dyDescent="0.25">
      <c r="A49" s="133" t="s">
        <v>365</v>
      </c>
      <c r="B49" s="191" t="s">
        <v>23</v>
      </c>
      <c r="C49" s="730" t="s">
        <v>1052</v>
      </c>
      <c r="D49" s="833" t="s">
        <v>1047</v>
      </c>
      <c r="E49" s="880"/>
      <c r="F49" s="808"/>
      <c r="G49" s="238">
        <v>2268</v>
      </c>
      <c r="H49" s="239">
        <v>1390</v>
      </c>
      <c r="I49" s="238">
        <f t="shared" si="15"/>
        <v>878</v>
      </c>
      <c r="J49" s="238">
        <v>1500</v>
      </c>
      <c r="K49" s="239">
        <f t="shared" si="16"/>
        <v>3768</v>
      </c>
      <c r="L49" s="237"/>
      <c r="M49" s="238">
        <f t="shared" si="17"/>
        <v>3768</v>
      </c>
      <c r="N49" s="238">
        <v>6060.75</v>
      </c>
      <c r="O49" s="238">
        <f>N49*1.044</f>
        <v>6327.4230000000007</v>
      </c>
      <c r="P49" s="238">
        <f>O49*1.045</f>
        <v>6612.1570350000002</v>
      </c>
    </row>
    <row r="50" spans="1:18" hidden="1" x14ac:dyDescent="0.25">
      <c r="A50" s="133"/>
      <c r="B50" s="191" t="s">
        <v>50</v>
      </c>
      <c r="C50" s="730" t="s">
        <v>1052</v>
      </c>
      <c r="D50" s="833" t="s">
        <v>1047</v>
      </c>
      <c r="E50" s="880"/>
      <c r="F50" s="808"/>
      <c r="G50" s="238">
        <v>0</v>
      </c>
      <c r="H50" s="239"/>
      <c r="I50" s="238">
        <f t="shared" si="15"/>
        <v>0</v>
      </c>
      <c r="J50" s="238">
        <v>0</v>
      </c>
      <c r="K50" s="239">
        <f t="shared" si="16"/>
        <v>0</v>
      </c>
      <c r="L50" s="237"/>
      <c r="M50" s="238">
        <f t="shared" si="17"/>
        <v>0</v>
      </c>
      <c r="N50" s="238"/>
      <c r="O50" s="237"/>
      <c r="P50" s="238"/>
    </row>
    <row r="51" spans="1:18" hidden="1" x14ac:dyDescent="0.25">
      <c r="A51" s="133"/>
      <c r="B51" s="15" t="s">
        <v>219</v>
      </c>
      <c r="C51" s="315"/>
      <c r="D51" s="879"/>
      <c r="E51" s="879"/>
      <c r="F51" s="811"/>
      <c r="G51" s="238">
        <v>0</v>
      </c>
      <c r="H51" s="239"/>
      <c r="I51" s="238">
        <f t="shared" si="15"/>
        <v>0</v>
      </c>
      <c r="J51" s="237">
        <v>0</v>
      </c>
      <c r="K51" s="237">
        <f t="shared" si="16"/>
        <v>0</v>
      </c>
      <c r="L51" s="237"/>
      <c r="M51" s="238">
        <f t="shared" si="17"/>
        <v>0</v>
      </c>
      <c r="N51" s="238"/>
      <c r="O51" s="237"/>
      <c r="P51" s="238"/>
    </row>
    <row r="52" spans="1:18" x14ac:dyDescent="0.25">
      <c r="A52" s="133" t="s">
        <v>294</v>
      </c>
      <c r="B52" s="191" t="s">
        <v>62</v>
      </c>
      <c r="C52" s="730" t="s">
        <v>1052</v>
      </c>
      <c r="D52" s="833" t="s">
        <v>1047</v>
      </c>
      <c r="E52" s="880"/>
      <c r="F52" s="808"/>
      <c r="G52" s="238">
        <v>15585</v>
      </c>
      <c r="H52" s="239">
        <v>10264.25</v>
      </c>
      <c r="I52" s="238">
        <f t="shared" si="15"/>
        <v>5320.75</v>
      </c>
      <c r="J52" s="237">
        <v>15000</v>
      </c>
      <c r="K52" s="237">
        <f t="shared" si="16"/>
        <v>30585</v>
      </c>
      <c r="L52" s="237"/>
      <c r="M52" s="238">
        <f t="shared" si="17"/>
        <v>30585</v>
      </c>
      <c r="N52" s="238">
        <f>K52*1.048</f>
        <v>32053.08</v>
      </c>
      <c r="O52" s="237">
        <f>N52*1.044</f>
        <v>33463.415520000002</v>
      </c>
      <c r="P52" s="238">
        <f>O52*1.045</f>
        <v>34969.269218399997</v>
      </c>
    </row>
    <row r="53" spans="1:18" s="509" customFormat="1" x14ac:dyDescent="0.25">
      <c r="A53" s="184"/>
      <c r="B53" s="15" t="s">
        <v>7</v>
      </c>
      <c r="C53" s="882" t="s">
        <v>1052</v>
      </c>
      <c r="D53" s="879" t="s">
        <v>1057</v>
      </c>
      <c r="E53" s="879" t="s">
        <v>1056</v>
      </c>
      <c r="F53" s="811"/>
      <c r="G53" s="238">
        <v>1661</v>
      </c>
      <c r="H53" s="239"/>
      <c r="I53" s="237">
        <f t="shared" si="15"/>
        <v>1661</v>
      </c>
      <c r="J53" s="237">
        <v>0</v>
      </c>
      <c r="K53" s="237">
        <f t="shared" si="16"/>
        <v>1661</v>
      </c>
      <c r="L53" s="237"/>
      <c r="M53" s="238">
        <f t="shared" si="17"/>
        <v>1661</v>
      </c>
      <c r="N53" s="238">
        <v>5651.09</v>
      </c>
      <c r="O53" s="237">
        <v>5651.09</v>
      </c>
      <c r="P53" s="238">
        <v>6026.88</v>
      </c>
      <c r="Q53" s="192"/>
      <c r="R53" s="192"/>
    </row>
    <row r="54" spans="1:18" s="509" customFormat="1" x14ac:dyDescent="0.25">
      <c r="A54" s="184"/>
      <c r="B54" s="15" t="s">
        <v>1259</v>
      </c>
      <c r="C54" s="882"/>
      <c r="D54" s="879"/>
      <c r="E54" s="879"/>
      <c r="F54" s="811"/>
      <c r="G54" s="238">
        <v>0</v>
      </c>
      <c r="H54" s="239"/>
      <c r="I54" s="237">
        <f t="shared" si="15"/>
        <v>0</v>
      </c>
      <c r="J54" s="237"/>
      <c r="K54" s="237">
        <v>0</v>
      </c>
      <c r="L54" s="237">
        <v>150000</v>
      </c>
      <c r="M54" s="237">
        <f t="shared" si="17"/>
        <v>150000</v>
      </c>
      <c r="N54" s="237">
        <f>150000*1.048-14800</f>
        <v>142400</v>
      </c>
      <c r="O54" s="237">
        <f>N54*1.044</f>
        <v>148665.60000000001</v>
      </c>
      <c r="P54" s="238">
        <f>O54*1.045</f>
        <v>155355.552</v>
      </c>
      <c r="Q54" s="192"/>
      <c r="R54" s="192"/>
    </row>
    <row r="55" spans="1:18" s="509" customFormat="1" x14ac:dyDescent="0.25">
      <c r="A55" s="184"/>
      <c r="B55" s="15" t="s">
        <v>1260</v>
      </c>
      <c r="C55" s="882"/>
      <c r="D55" s="879"/>
      <c r="E55" s="879"/>
      <c r="F55" s="811"/>
      <c r="G55" s="238">
        <v>0</v>
      </c>
      <c r="H55" s="239"/>
      <c r="I55" s="237">
        <f t="shared" ref="I55:I66" si="18">SUM(G55-H55)</f>
        <v>0</v>
      </c>
      <c r="J55" s="237"/>
      <c r="K55" s="237">
        <v>0</v>
      </c>
      <c r="L55" s="237">
        <v>250000</v>
      </c>
      <c r="M55" s="237">
        <f t="shared" si="17"/>
        <v>250000</v>
      </c>
      <c r="N55" s="237">
        <f>250000*1.048-61800</f>
        <v>200200</v>
      </c>
      <c r="O55" s="237">
        <f t="shared" ref="O55:O66" si="19">N55*1.044</f>
        <v>209008.80000000002</v>
      </c>
      <c r="P55" s="238">
        <f t="shared" ref="P55:P66" si="20">O55*1.045</f>
        <v>218414.196</v>
      </c>
      <c r="Q55" s="192"/>
      <c r="R55" s="192"/>
    </row>
    <row r="56" spans="1:18" s="509" customFormat="1" x14ac:dyDescent="0.25">
      <c r="A56" s="184"/>
      <c r="B56" s="15" t="s">
        <v>1261</v>
      </c>
      <c r="C56" s="882"/>
      <c r="D56" s="879"/>
      <c r="E56" s="879"/>
      <c r="F56" s="811"/>
      <c r="G56" s="238">
        <v>0</v>
      </c>
      <c r="H56" s="239"/>
      <c r="I56" s="237">
        <f t="shared" si="18"/>
        <v>0</v>
      </c>
      <c r="J56" s="237"/>
      <c r="K56" s="237">
        <v>0</v>
      </c>
      <c r="L56" s="237">
        <v>250000</v>
      </c>
      <c r="M56" s="237">
        <f t="shared" si="17"/>
        <v>250000</v>
      </c>
      <c r="N56" s="237">
        <f>250000*1.048-50000</f>
        <v>212000</v>
      </c>
      <c r="O56" s="237">
        <f t="shared" si="19"/>
        <v>221328</v>
      </c>
      <c r="P56" s="238">
        <f t="shared" si="20"/>
        <v>231287.75999999998</v>
      </c>
      <c r="Q56" s="192"/>
      <c r="R56" s="192"/>
    </row>
    <row r="57" spans="1:18" s="509" customFormat="1" x14ac:dyDescent="0.25">
      <c r="A57" s="184"/>
      <c r="B57" s="15" t="s">
        <v>1262</v>
      </c>
      <c r="C57" s="882"/>
      <c r="D57" s="879"/>
      <c r="E57" s="879"/>
      <c r="F57" s="811"/>
      <c r="G57" s="238">
        <v>0</v>
      </c>
      <c r="H57" s="239"/>
      <c r="I57" s="237">
        <f t="shared" si="18"/>
        <v>0</v>
      </c>
      <c r="J57" s="237"/>
      <c r="K57" s="237">
        <v>0</v>
      </c>
      <c r="L57" s="237">
        <v>371345</v>
      </c>
      <c r="M57" s="237">
        <f t="shared" si="17"/>
        <v>371345</v>
      </c>
      <c r="N57" s="237">
        <f>371345*1.048</f>
        <v>389169.56</v>
      </c>
      <c r="O57" s="237">
        <f t="shared" si="19"/>
        <v>406293.02064</v>
      </c>
      <c r="P57" s="238">
        <f t="shared" si="20"/>
        <v>424576.20656879997</v>
      </c>
      <c r="Q57" s="192"/>
      <c r="R57" s="192"/>
    </row>
    <row r="58" spans="1:18" s="509" customFormat="1" x14ac:dyDescent="0.25">
      <c r="A58" s="184"/>
      <c r="B58" s="15" t="s">
        <v>946</v>
      </c>
      <c r="C58" s="882"/>
      <c r="D58" s="879"/>
      <c r="E58" s="879"/>
      <c r="F58" s="811"/>
      <c r="G58" s="238">
        <v>0</v>
      </c>
      <c r="H58" s="239"/>
      <c r="I58" s="237">
        <f t="shared" si="18"/>
        <v>0</v>
      </c>
      <c r="J58" s="237"/>
      <c r="K58" s="237">
        <v>0</v>
      </c>
      <c r="L58" s="237">
        <v>200000</v>
      </c>
      <c r="M58" s="237">
        <f t="shared" si="17"/>
        <v>200000</v>
      </c>
      <c r="N58" s="237">
        <f>200000*1.048-25000</f>
        <v>184600</v>
      </c>
      <c r="O58" s="237">
        <f t="shared" si="19"/>
        <v>192722.4</v>
      </c>
      <c r="P58" s="238">
        <f t="shared" si="20"/>
        <v>201394.90799999997</v>
      </c>
      <c r="Q58" s="192"/>
      <c r="R58" s="192"/>
    </row>
    <row r="59" spans="1:18" s="509" customFormat="1" x14ac:dyDescent="0.25">
      <c r="A59" s="184"/>
      <c r="B59" s="15" t="s">
        <v>1263</v>
      </c>
      <c r="C59" s="882"/>
      <c r="D59" s="879"/>
      <c r="E59" s="879"/>
      <c r="F59" s="811"/>
      <c r="G59" s="238">
        <v>0</v>
      </c>
      <c r="H59" s="239"/>
      <c r="I59" s="237">
        <f t="shared" si="18"/>
        <v>0</v>
      </c>
      <c r="J59" s="237"/>
      <c r="K59" s="237">
        <v>0</v>
      </c>
      <c r="L59" s="237">
        <v>250000</v>
      </c>
      <c r="M59" s="237">
        <f t="shared" si="17"/>
        <v>250000</v>
      </c>
      <c r="N59" s="237">
        <f>250000*1.0487665-85900</f>
        <v>176291.625</v>
      </c>
      <c r="O59" s="237">
        <f t="shared" si="19"/>
        <v>184048.4565</v>
      </c>
      <c r="P59" s="238">
        <f t="shared" si="20"/>
        <v>192330.63704249999</v>
      </c>
      <c r="Q59" s="192"/>
      <c r="R59" s="192"/>
    </row>
    <row r="60" spans="1:18" s="509" customFormat="1" x14ac:dyDescent="0.25">
      <c r="A60" s="184"/>
      <c r="B60" s="15" t="s">
        <v>1264</v>
      </c>
      <c r="C60" s="882"/>
      <c r="D60" s="879"/>
      <c r="E60" s="879"/>
      <c r="F60" s="811"/>
      <c r="G60" s="238">
        <v>0</v>
      </c>
      <c r="H60" s="239"/>
      <c r="I60" s="237">
        <f t="shared" si="18"/>
        <v>0</v>
      </c>
      <c r="J60" s="237"/>
      <c r="K60" s="237">
        <v>0</v>
      </c>
      <c r="L60" s="237">
        <v>300000</v>
      </c>
      <c r="M60" s="237">
        <f t="shared" si="17"/>
        <v>300000</v>
      </c>
      <c r="N60" s="237">
        <f>300000*1.048</f>
        <v>314400</v>
      </c>
      <c r="O60" s="237">
        <f t="shared" si="19"/>
        <v>328233.60000000003</v>
      </c>
      <c r="P60" s="238">
        <v>243000</v>
      </c>
      <c r="Q60" s="192"/>
      <c r="R60" s="192"/>
    </row>
    <row r="61" spans="1:18" s="509" customFormat="1" x14ac:dyDescent="0.25">
      <c r="A61" s="184"/>
      <c r="B61" s="15" t="s">
        <v>1265</v>
      </c>
      <c r="C61" s="882"/>
      <c r="D61" s="879"/>
      <c r="E61" s="879"/>
      <c r="F61" s="811"/>
      <c r="G61" s="238">
        <v>0</v>
      </c>
      <c r="H61" s="239"/>
      <c r="I61" s="237">
        <f t="shared" si="18"/>
        <v>0</v>
      </c>
      <c r="J61" s="237"/>
      <c r="K61" s="237">
        <v>0</v>
      </c>
      <c r="L61" s="237">
        <v>160000</v>
      </c>
      <c r="M61" s="237">
        <f t="shared" si="17"/>
        <v>160000</v>
      </c>
      <c r="N61" s="237">
        <f>160000*1.048-1998</f>
        <v>165682</v>
      </c>
      <c r="O61" s="237">
        <f t="shared" si="19"/>
        <v>172972.008</v>
      </c>
      <c r="P61" s="238">
        <f t="shared" si="20"/>
        <v>180755.74836</v>
      </c>
      <c r="Q61" s="192"/>
      <c r="R61" s="192"/>
    </row>
    <row r="62" spans="1:18" s="509" customFormat="1" x14ac:dyDescent="0.25">
      <c r="A62" s="184"/>
      <c r="B62" s="15" t="s">
        <v>1266</v>
      </c>
      <c r="C62" s="882"/>
      <c r="D62" s="879"/>
      <c r="E62" s="879"/>
      <c r="F62" s="811"/>
      <c r="G62" s="238"/>
      <c r="H62" s="239"/>
      <c r="I62" s="237"/>
      <c r="J62" s="237"/>
      <c r="K62" s="237"/>
      <c r="L62" s="237">
        <v>250000</v>
      </c>
      <c r="M62" s="237">
        <f t="shared" si="17"/>
        <v>250000</v>
      </c>
      <c r="N62" s="237"/>
      <c r="O62" s="237"/>
      <c r="P62" s="238"/>
      <c r="Q62" s="192"/>
      <c r="R62" s="192"/>
    </row>
    <row r="63" spans="1:18" s="509" customFormat="1" x14ac:dyDescent="0.25">
      <c r="A63" s="184"/>
      <c r="B63" s="15" t="s">
        <v>1302</v>
      </c>
      <c r="C63" s="882"/>
      <c r="D63" s="879"/>
      <c r="E63" s="879"/>
      <c r="F63" s="811"/>
      <c r="G63" s="238">
        <v>0</v>
      </c>
      <c r="H63" s="239"/>
      <c r="I63" s="237">
        <f t="shared" si="18"/>
        <v>0</v>
      </c>
      <c r="J63" s="237"/>
      <c r="K63" s="237">
        <v>0</v>
      </c>
      <c r="L63" s="237"/>
      <c r="M63" s="237">
        <f t="shared" si="17"/>
        <v>0</v>
      </c>
      <c r="N63" s="237">
        <v>0</v>
      </c>
      <c r="O63" s="237">
        <v>85000</v>
      </c>
      <c r="P63" s="238">
        <f t="shared" si="20"/>
        <v>88825</v>
      </c>
      <c r="Q63" s="192"/>
      <c r="R63" s="192"/>
    </row>
    <row r="64" spans="1:18" s="509" customFormat="1" x14ac:dyDescent="0.25">
      <c r="A64" s="184"/>
      <c r="B64" s="15" t="s">
        <v>1267</v>
      </c>
      <c r="C64" s="882"/>
      <c r="D64" s="879"/>
      <c r="E64" s="879"/>
      <c r="F64" s="811"/>
      <c r="G64" s="238">
        <v>0</v>
      </c>
      <c r="H64" s="239"/>
      <c r="I64" s="237">
        <f t="shared" si="18"/>
        <v>0</v>
      </c>
      <c r="J64" s="237"/>
      <c r="K64" s="238">
        <v>0</v>
      </c>
      <c r="L64" s="237">
        <v>150000</v>
      </c>
      <c r="M64" s="237">
        <f t="shared" si="17"/>
        <v>150000</v>
      </c>
      <c r="N64" s="237">
        <f>150000*1.048</f>
        <v>157200</v>
      </c>
      <c r="O64" s="237">
        <f t="shared" si="19"/>
        <v>164116.80000000002</v>
      </c>
      <c r="P64" s="238">
        <f t="shared" si="20"/>
        <v>171502.05600000001</v>
      </c>
      <c r="Q64" s="192"/>
      <c r="R64" s="192"/>
    </row>
    <row r="65" spans="1:18" s="509" customFormat="1" x14ac:dyDescent="0.25">
      <c r="A65" s="184"/>
      <c r="B65" s="15" t="s">
        <v>1268</v>
      </c>
      <c r="C65" s="882"/>
      <c r="D65" s="879"/>
      <c r="E65" s="879"/>
      <c r="F65" s="811"/>
      <c r="G65" s="238">
        <v>0</v>
      </c>
      <c r="H65" s="239"/>
      <c r="I65" s="237">
        <f t="shared" si="18"/>
        <v>0</v>
      </c>
      <c r="J65" s="237"/>
      <c r="K65" s="238">
        <v>0</v>
      </c>
      <c r="L65" s="237">
        <v>60000</v>
      </c>
      <c r="M65" s="237">
        <f t="shared" si="17"/>
        <v>60000</v>
      </c>
      <c r="N65" s="237">
        <f>60000*1.048</f>
        <v>62880</v>
      </c>
      <c r="O65" s="237">
        <f t="shared" si="19"/>
        <v>65646.720000000001</v>
      </c>
      <c r="P65" s="238">
        <f t="shared" si="20"/>
        <v>68600.82239999999</v>
      </c>
      <c r="Q65" s="192"/>
      <c r="R65" s="192"/>
    </row>
    <row r="66" spans="1:18" s="509" customFormat="1" x14ac:dyDescent="0.25">
      <c r="A66" s="184"/>
      <c r="B66" s="15" t="s">
        <v>1286</v>
      </c>
      <c r="C66" s="882"/>
      <c r="D66" s="879"/>
      <c r="E66" s="879"/>
      <c r="F66" s="811"/>
      <c r="G66" s="238">
        <v>0</v>
      </c>
      <c r="H66" s="239"/>
      <c r="I66" s="237">
        <f t="shared" si="18"/>
        <v>0</v>
      </c>
      <c r="J66" s="237"/>
      <c r="K66" s="238">
        <v>0</v>
      </c>
      <c r="L66" s="237">
        <v>80000</v>
      </c>
      <c r="M66" s="237">
        <f t="shared" si="17"/>
        <v>80000</v>
      </c>
      <c r="N66" s="237">
        <f>80000*1.048</f>
        <v>83840</v>
      </c>
      <c r="O66" s="237">
        <f t="shared" si="19"/>
        <v>87528.960000000006</v>
      </c>
      <c r="P66" s="238">
        <f t="shared" si="20"/>
        <v>91467.763200000001</v>
      </c>
      <c r="Q66" s="192"/>
      <c r="R66" s="192"/>
    </row>
    <row r="67" spans="1:18" x14ac:dyDescent="0.25">
      <c r="A67" s="132"/>
      <c r="B67" s="864"/>
      <c r="C67" s="864"/>
      <c r="D67" s="865"/>
      <c r="E67" s="865"/>
      <c r="F67" s="866"/>
      <c r="G67" s="496">
        <f>SUM(G34:G54)</f>
        <v>12315216.217800001</v>
      </c>
      <c r="H67" s="886">
        <f>SUM(H34:H53)</f>
        <v>5294627.25</v>
      </c>
      <c r="I67" s="886">
        <f>SUM(I34:I54)</f>
        <v>7020588.9678000007</v>
      </c>
      <c r="J67" s="886">
        <f>SUM(J34:J53)</f>
        <v>706500</v>
      </c>
      <c r="K67" s="886">
        <f>SUM(K34:K66)</f>
        <v>13021716.217800001</v>
      </c>
      <c r="L67" s="886">
        <f t="shared" ref="L67:M67" si="21">SUM(L34:L66)</f>
        <v>10471345</v>
      </c>
      <c r="M67" s="886">
        <f t="shared" si="21"/>
        <v>23493061.217799999</v>
      </c>
      <c r="N67" s="887">
        <f>SUM(N34:N66)</f>
        <v>16455295.710559998</v>
      </c>
      <c r="O67" s="887">
        <f>SUM(O34:O66)</f>
        <v>9775397.875904642</v>
      </c>
      <c r="P67" s="887">
        <f>SUM(P34:P66)</f>
        <v>5769790.5758203482</v>
      </c>
    </row>
    <row r="68" spans="1:18" x14ac:dyDescent="0.25">
      <c r="A68" s="132"/>
      <c r="B68" s="320"/>
      <c r="C68" s="319"/>
      <c r="D68" s="856"/>
      <c r="E68" s="856"/>
      <c r="F68" s="774"/>
      <c r="G68" s="473"/>
      <c r="H68" s="474"/>
      <c r="I68" s="474"/>
      <c r="J68" s="474"/>
      <c r="K68" s="474"/>
      <c r="L68" s="474"/>
      <c r="M68" s="474"/>
      <c r="N68" s="475"/>
      <c r="O68" s="475"/>
      <c r="P68" s="475"/>
    </row>
    <row r="69" spans="1:18" x14ac:dyDescent="0.25">
      <c r="A69" s="132"/>
      <c r="B69" s="320"/>
      <c r="C69" s="319"/>
      <c r="D69" s="856"/>
      <c r="E69" s="856"/>
      <c r="F69" s="774"/>
      <c r="G69" s="473"/>
      <c r="H69" s="474"/>
      <c r="I69" s="474"/>
      <c r="J69" s="474"/>
      <c r="K69" s="474"/>
      <c r="L69" s="474"/>
      <c r="M69" s="474"/>
      <c r="N69" s="475"/>
      <c r="O69" s="475"/>
      <c r="P69" s="475"/>
    </row>
    <row r="70" spans="1:18" x14ac:dyDescent="0.25">
      <c r="A70" s="132"/>
      <c r="B70" s="320"/>
      <c r="C70" s="319"/>
      <c r="D70" s="856"/>
      <c r="E70" s="856"/>
      <c r="F70" s="774"/>
      <c r="G70" s="473"/>
      <c r="H70" s="474"/>
      <c r="I70" s="474"/>
      <c r="J70" s="474"/>
      <c r="K70" s="474"/>
      <c r="L70" s="474"/>
      <c r="M70" s="474"/>
      <c r="N70" s="475"/>
      <c r="O70" s="475"/>
      <c r="P70" s="475"/>
    </row>
    <row r="71" spans="1:18" x14ac:dyDescent="0.25">
      <c r="A71" s="132"/>
      <c r="B71" s="320"/>
      <c r="C71" s="319"/>
      <c r="D71" s="856"/>
      <c r="E71" s="856"/>
      <c r="F71" s="774"/>
      <c r="G71" s="473"/>
      <c r="H71" s="474"/>
      <c r="I71" s="474"/>
      <c r="J71" s="474"/>
      <c r="K71" s="474"/>
      <c r="L71" s="474"/>
      <c r="M71" s="474"/>
      <c r="N71" s="475"/>
      <c r="O71" s="475"/>
      <c r="P71" s="475"/>
    </row>
    <row r="72" spans="1:18" x14ac:dyDescent="0.25">
      <c r="A72" s="132"/>
      <c r="B72" s="320"/>
      <c r="C72" s="319"/>
      <c r="D72" s="856"/>
      <c r="E72" s="856"/>
      <c r="F72" s="774"/>
      <c r="G72" s="473"/>
      <c r="H72" s="474"/>
      <c r="I72" s="474"/>
      <c r="J72" s="474"/>
      <c r="K72" s="474"/>
      <c r="L72" s="474"/>
      <c r="M72" s="474"/>
      <c r="N72" s="475"/>
      <c r="O72" s="475"/>
      <c r="P72" s="475"/>
    </row>
    <row r="73" spans="1:18" x14ac:dyDescent="0.25">
      <c r="A73" s="132"/>
      <c r="B73" s="393" t="s">
        <v>1320</v>
      </c>
      <c r="C73" s="319"/>
      <c r="D73" s="856"/>
      <c r="E73" s="856"/>
      <c r="F73" s="774"/>
      <c r="G73" s="473"/>
      <c r="H73" s="474"/>
      <c r="I73" s="474"/>
      <c r="J73" s="474"/>
      <c r="K73" s="474"/>
      <c r="L73" s="474"/>
      <c r="M73" s="474"/>
      <c r="N73" s="475"/>
      <c r="O73" s="475"/>
      <c r="P73" s="475"/>
    </row>
    <row r="74" spans="1:18" x14ac:dyDescent="0.25">
      <c r="A74" s="132"/>
      <c r="B74" s="320" t="s">
        <v>126</v>
      </c>
      <c r="C74" s="319"/>
      <c r="D74" s="856"/>
      <c r="E74" s="856"/>
      <c r="F74" s="320"/>
      <c r="G74" s="888">
        <v>0</v>
      </c>
      <c r="H74" s="889"/>
      <c r="I74" s="889"/>
      <c r="J74" s="889"/>
      <c r="K74" s="888">
        <v>0</v>
      </c>
      <c r="L74" s="909">
        <v>500000</v>
      </c>
      <c r="M74" s="910">
        <f>SUM(K74+L74)</f>
        <v>500000</v>
      </c>
      <c r="N74" s="902">
        <v>0</v>
      </c>
      <c r="O74" s="902">
        <v>0</v>
      </c>
      <c r="P74" s="902">
        <v>0</v>
      </c>
    </row>
    <row r="75" spans="1:18" x14ac:dyDescent="0.25">
      <c r="A75" s="132"/>
      <c r="B75" s="320" t="s">
        <v>1319</v>
      </c>
      <c r="C75" s="319"/>
      <c r="D75" s="856"/>
      <c r="E75" s="856"/>
      <c r="F75" s="320"/>
      <c r="G75" s="473">
        <v>0</v>
      </c>
      <c r="H75" s="474"/>
      <c r="I75" s="474"/>
      <c r="J75" s="474"/>
      <c r="K75" s="473">
        <v>0</v>
      </c>
      <c r="L75" s="911">
        <v>500000</v>
      </c>
      <c r="M75" s="912">
        <f t="shared" ref="M75:M78" si="22">SUM(K75+L75)</f>
        <v>500000</v>
      </c>
      <c r="N75" s="903">
        <v>0</v>
      </c>
      <c r="O75" s="903">
        <v>0</v>
      </c>
      <c r="P75" s="903">
        <v>0</v>
      </c>
    </row>
    <row r="76" spans="1:18" x14ac:dyDescent="0.25">
      <c r="A76" s="132"/>
      <c r="B76" s="320" t="s">
        <v>509</v>
      </c>
      <c r="C76" s="319"/>
      <c r="D76" s="856"/>
      <c r="E76" s="856"/>
      <c r="F76" s="320"/>
      <c r="G76" s="473">
        <v>0</v>
      </c>
      <c r="H76" s="474"/>
      <c r="I76" s="474"/>
      <c r="J76" s="474"/>
      <c r="K76" s="473">
        <v>0</v>
      </c>
      <c r="L76" s="911">
        <v>500000</v>
      </c>
      <c r="M76" s="912">
        <f t="shared" si="22"/>
        <v>500000</v>
      </c>
      <c r="N76" s="890">
        <v>100000</v>
      </c>
      <c r="O76" s="903">
        <v>0</v>
      </c>
      <c r="P76" s="903">
        <v>0</v>
      </c>
    </row>
    <row r="77" spans="1:18" x14ac:dyDescent="0.25">
      <c r="A77" s="132"/>
      <c r="B77" s="191" t="s">
        <v>1303</v>
      </c>
      <c r="C77" s="319"/>
      <c r="D77" s="856"/>
      <c r="E77" s="856"/>
      <c r="F77" s="320"/>
      <c r="G77" s="473">
        <v>0</v>
      </c>
      <c r="H77" s="474"/>
      <c r="I77" s="474"/>
      <c r="J77" s="474"/>
      <c r="K77" s="473">
        <v>0</v>
      </c>
      <c r="L77" s="911">
        <v>0</v>
      </c>
      <c r="M77" s="912">
        <f t="shared" si="22"/>
        <v>0</v>
      </c>
      <c r="N77" s="890">
        <v>262000</v>
      </c>
      <c r="O77" s="903">
        <v>0</v>
      </c>
      <c r="P77" s="903">
        <v>0</v>
      </c>
    </row>
    <row r="78" spans="1:18" x14ac:dyDescent="0.25">
      <c r="A78" s="132"/>
      <c r="B78" s="320" t="s">
        <v>1301</v>
      </c>
      <c r="C78" s="319"/>
      <c r="D78" s="856"/>
      <c r="E78" s="856"/>
      <c r="F78" s="320"/>
      <c r="G78" s="904">
        <v>0</v>
      </c>
      <c r="H78" s="905"/>
      <c r="I78" s="905"/>
      <c r="J78" s="905"/>
      <c r="K78" s="904">
        <v>0</v>
      </c>
      <c r="L78" s="367">
        <v>0</v>
      </c>
      <c r="M78" s="913">
        <f t="shared" si="22"/>
        <v>0</v>
      </c>
      <c r="N78" s="906">
        <v>30000</v>
      </c>
      <c r="O78" s="908">
        <v>0</v>
      </c>
      <c r="P78" s="908">
        <v>0</v>
      </c>
    </row>
    <row r="79" spans="1:18" x14ac:dyDescent="0.25">
      <c r="A79" s="132"/>
      <c r="B79" s="320"/>
      <c r="C79" s="319"/>
      <c r="D79" s="856"/>
      <c r="E79" s="856"/>
      <c r="F79" s="774"/>
      <c r="G79" s="907">
        <f>SUM(G74:G78)</f>
        <v>0</v>
      </c>
      <c r="H79" s="907">
        <f t="shared" ref="H79:P79" si="23">SUM(H74:H78)</f>
        <v>0</v>
      </c>
      <c r="I79" s="907">
        <f t="shared" si="23"/>
        <v>0</v>
      </c>
      <c r="J79" s="907">
        <f t="shared" si="23"/>
        <v>0</v>
      </c>
      <c r="K79" s="907">
        <f t="shared" si="23"/>
        <v>0</v>
      </c>
      <c r="L79" s="907">
        <f t="shared" si="23"/>
        <v>1500000</v>
      </c>
      <c r="M79" s="907">
        <f t="shared" si="23"/>
        <v>1500000</v>
      </c>
      <c r="N79" s="907">
        <f t="shared" si="23"/>
        <v>392000</v>
      </c>
      <c r="O79" s="907">
        <f t="shared" si="23"/>
        <v>0</v>
      </c>
      <c r="P79" s="907">
        <f t="shared" si="23"/>
        <v>0</v>
      </c>
    </row>
    <row r="80" spans="1:18" x14ac:dyDescent="0.25">
      <c r="A80" s="132"/>
      <c r="C80" s="319"/>
      <c r="D80" s="856"/>
      <c r="E80" s="856"/>
      <c r="F80" s="774"/>
      <c r="G80" s="489"/>
      <c r="N80" s="336"/>
      <c r="O80" s="336"/>
      <c r="P80" s="336"/>
    </row>
    <row r="81" spans="1:16" hidden="1" x14ac:dyDescent="0.25">
      <c r="A81" s="132"/>
      <c r="C81" s="319"/>
      <c r="D81" s="856"/>
      <c r="E81" s="856"/>
      <c r="F81" s="774"/>
      <c r="G81" s="489"/>
      <c r="N81" s="336"/>
      <c r="O81" s="336"/>
      <c r="P81" s="336"/>
    </row>
    <row r="82" spans="1:16" ht="16.5" thickBot="1" x14ac:dyDescent="0.3">
      <c r="A82" s="132"/>
      <c r="B82" s="892"/>
      <c r="C82" s="867"/>
      <c r="D82" s="868"/>
      <c r="E82" s="868"/>
      <c r="F82" s="869"/>
      <c r="G82" s="748">
        <f t="shared" ref="G82:P82" si="24">G26+G32+G67</f>
        <v>17867063.447800003</v>
      </c>
      <c r="H82" s="678">
        <f t="shared" si="24"/>
        <v>7284036.1900000004</v>
      </c>
      <c r="I82" s="678">
        <f t="shared" si="24"/>
        <v>10583027.257800002</v>
      </c>
      <c r="J82" s="678">
        <f t="shared" si="24"/>
        <v>-777481.95635000011</v>
      </c>
      <c r="K82" s="678">
        <f t="shared" si="24"/>
        <v>17089581.491450001</v>
      </c>
      <c r="L82" s="678"/>
      <c r="M82" s="678"/>
      <c r="N82" s="678">
        <f t="shared" si="24"/>
        <v>26194972.074159998</v>
      </c>
      <c r="O82" s="678">
        <f t="shared" si="24"/>
        <v>18737210.831503041</v>
      </c>
      <c r="P82" s="678">
        <f t="shared" si="24"/>
        <v>15099885.184420675</v>
      </c>
    </row>
    <row r="83" spans="1:16" x14ac:dyDescent="0.25">
      <c r="A83" s="132"/>
      <c r="C83" s="319"/>
      <c r="D83" s="856"/>
      <c r="E83" s="856"/>
      <c r="F83" s="774"/>
      <c r="G83" s="489"/>
      <c r="N83" s="336"/>
      <c r="O83" s="336"/>
      <c r="P83" s="336"/>
    </row>
    <row r="84" spans="1:16" hidden="1" x14ac:dyDescent="0.25">
      <c r="A84" s="134" t="s">
        <v>312</v>
      </c>
      <c r="B84" s="16" t="s">
        <v>606</v>
      </c>
      <c r="C84" s="621"/>
      <c r="D84" s="893"/>
      <c r="E84" s="893"/>
      <c r="F84" s="894"/>
      <c r="G84" s="341">
        <v>0</v>
      </c>
      <c r="H84" s="339"/>
      <c r="I84" s="339"/>
      <c r="J84" s="339"/>
      <c r="K84" s="339"/>
      <c r="L84" s="339"/>
      <c r="M84" s="339"/>
      <c r="N84" s="359"/>
      <c r="O84" s="344"/>
      <c r="P84" s="344"/>
    </row>
    <row r="85" spans="1:16" x14ac:dyDescent="0.25">
      <c r="A85" s="133" t="s">
        <v>296</v>
      </c>
      <c r="B85" s="895" t="s">
        <v>297</v>
      </c>
      <c r="C85" s="797"/>
      <c r="D85" s="895"/>
      <c r="E85" s="895"/>
      <c r="F85" s="797"/>
      <c r="G85" s="435">
        <v>-4000000</v>
      </c>
      <c r="H85" s="340">
        <v>-4000000</v>
      </c>
      <c r="I85" s="340">
        <f>G85-H85</f>
        <v>0</v>
      </c>
      <c r="J85" s="340">
        <v>0</v>
      </c>
      <c r="K85" s="435">
        <f>SUM(G85+J85)</f>
        <v>-4000000</v>
      </c>
      <c r="L85" s="341">
        <v>-8000000</v>
      </c>
      <c r="M85" s="339">
        <f>K85+L85</f>
        <v>-12000000</v>
      </c>
      <c r="N85" s="359">
        <v>-5000000</v>
      </c>
      <c r="O85" s="359">
        <v>-4000000</v>
      </c>
      <c r="P85" s="359">
        <v>0</v>
      </c>
    </row>
    <row r="86" spans="1:16" x14ac:dyDescent="0.25">
      <c r="A86" s="133" t="s">
        <v>298</v>
      </c>
      <c r="B86" s="879" t="s">
        <v>299</v>
      </c>
      <c r="C86" s="316"/>
      <c r="D86" s="879"/>
      <c r="E86" s="879"/>
      <c r="F86" s="316"/>
      <c r="G86" s="489">
        <v>-5548000</v>
      </c>
      <c r="H86" s="312">
        <v>-3883000</v>
      </c>
      <c r="I86" s="312">
        <f t="shared" ref="I86:I87" si="25">G86-H86</f>
        <v>-1665000</v>
      </c>
      <c r="J86" s="312">
        <v>0</v>
      </c>
      <c r="K86" s="489">
        <f t="shared" ref="K86:K87" si="26">SUM(G86+J86)</f>
        <v>-5548000</v>
      </c>
      <c r="L86" s="313"/>
      <c r="M86" s="311">
        <f t="shared" ref="M86:M88" si="27">K86+L86</f>
        <v>-5548000</v>
      </c>
      <c r="N86" s="325">
        <v>-5356000</v>
      </c>
      <c r="O86" s="325">
        <v>0</v>
      </c>
      <c r="P86" s="325">
        <v>0</v>
      </c>
    </row>
    <row r="87" spans="1:16" x14ac:dyDescent="0.25">
      <c r="A87" s="133" t="s">
        <v>300</v>
      </c>
      <c r="B87" s="879" t="s">
        <v>301</v>
      </c>
      <c r="C87" s="916"/>
      <c r="D87" s="896"/>
      <c r="E87" s="896"/>
      <c r="F87" s="916"/>
      <c r="G87" s="489">
        <v>-2458000</v>
      </c>
      <c r="H87" s="312">
        <v>-1721000</v>
      </c>
      <c r="I87" s="312">
        <f t="shared" si="25"/>
        <v>-737000</v>
      </c>
      <c r="J87" s="312">
        <v>0</v>
      </c>
      <c r="K87" s="489">
        <f t="shared" si="26"/>
        <v>-2458000</v>
      </c>
      <c r="L87" s="313"/>
      <c r="M87" s="311">
        <f t="shared" si="27"/>
        <v>-2458000</v>
      </c>
      <c r="N87" s="325">
        <v>-2573000</v>
      </c>
      <c r="O87" s="325">
        <v>-2583000</v>
      </c>
      <c r="P87" s="325">
        <v>-2677000</v>
      </c>
    </row>
    <row r="88" spans="1:16" x14ac:dyDescent="0.25">
      <c r="A88" s="133"/>
      <c r="B88" s="896"/>
      <c r="C88" s="916"/>
      <c r="D88" s="896"/>
      <c r="E88" s="896"/>
      <c r="F88" s="916"/>
      <c r="G88" s="544"/>
      <c r="H88" s="346"/>
      <c r="I88" s="346"/>
      <c r="J88" s="346"/>
      <c r="K88" s="544"/>
      <c r="L88" s="347">
        <v>-5000000</v>
      </c>
      <c r="M88" s="345">
        <f t="shared" si="27"/>
        <v>-5000000</v>
      </c>
      <c r="N88" s="326"/>
      <c r="O88" s="326"/>
      <c r="P88" s="326"/>
    </row>
    <row r="89" spans="1:16" x14ac:dyDescent="0.25">
      <c r="A89" s="132" t="s">
        <v>195</v>
      </c>
      <c r="C89" s="388"/>
      <c r="D89" s="897"/>
      <c r="E89" s="897"/>
      <c r="F89" s="783"/>
      <c r="G89" s="891">
        <f t="shared" ref="G89:P89" si="28">SUM(G84:G87)</f>
        <v>-12006000</v>
      </c>
      <c r="H89" s="891">
        <f t="shared" si="28"/>
        <v>-9604000</v>
      </c>
      <c r="I89" s="891">
        <f t="shared" si="28"/>
        <v>-2402000</v>
      </c>
      <c r="J89" s="891">
        <f t="shared" si="28"/>
        <v>0</v>
      </c>
      <c r="K89" s="891">
        <f t="shared" si="28"/>
        <v>-12006000</v>
      </c>
      <c r="L89" s="891"/>
      <c r="M89" s="891"/>
      <c r="N89" s="907">
        <f t="shared" si="28"/>
        <v>-12929000</v>
      </c>
      <c r="O89" s="907">
        <f t="shared" si="28"/>
        <v>-6583000</v>
      </c>
      <c r="P89" s="907">
        <f t="shared" si="28"/>
        <v>-2677000</v>
      </c>
    </row>
    <row r="90" spans="1:16" x14ac:dyDescent="0.25">
      <c r="A90" s="135"/>
    </row>
    <row r="91" spans="1:16" hidden="1" x14ac:dyDescent="0.25"/>
    <row r="92" spans="1:16" x14ac:dyDescent="0.25">
      <c r="B92" s="898" t="s">
        <v>1294</v>
      </c>
      <c r="C92" s="898"/>
      <c r="D92" s="898"/>
      <c r="E92" s="898"/>
      <c r="F92" s="898"/>
      <c r="G92" s="529">
        <v>0</v>
      </c>
      <c r="H92" s="529"/>
      <c r="I92" s="529"/>
      <c r="J92" s="529">
        <v>0</v>
      </c>
      <c r="K92" s="529">
        <v>0</v>
      </c>
      <c r="L92" s="529"/>
      <c r="M92" s="529"/>
      <c r="N92" s="529">
        <v>-750000</v>
      </c>
      <c r="O92" s="529">
        <v>-2000000</v>
      </c>
      <c r="P92" s="529">
        <v>-3000000</v>
      </c>
    </row>
    <row r="93" spans="1:16" x14ac:dyDescent="0.25">
      <c r="B93" s="898" t="s">
        <v>1300</v>
      </c>
      <c r="C93" s="397"/>
      <c r="D93" s="397"/>
      <c r="E93" s="397"/>
      <c r="F93" s="397"/>
      <c r="G93" s="529"/>
      <c r="H93" s="529"/>
      <c r="I93" s="529"/>
      <c r="J93" s="529"/>
      <c r="K93" s="529"/>
      <c r="L93" s="529"/>
      <c r="M93" s="529"/>
      <c r="N93" s="529">
        <v>-5000000</v>
      </c>
      <c r="O93" s="529">
        <v>0</v>
      </c>
      <c r="P93" s="529">
        <v>0</v>
      </c>
    </row>
    <row r="94" spans="1:16" x14ac:dyDescent="0.25">
      <c r="G94" s="331">
        <f>+G92</f>
        <v>0</v>
      </c>
      <c r="H94" s="331"/>
      <c r="I94" s="331"/>
      <c r="J94" s="331">
        <f>+J92</f>
        <v>0</v>
      </c>
      <c r="K94" s="331">
        <f>+K92</f>
        <v>0</v>
      </c>
      <c r="L94" s="331"/>
      <c r="M94" s="331"/>
      <c r="N94" s="331">
        <f>SUM(N92:N93)</f>
        <v>-5750000</v>
      </c>
      <c r="O94" s="331">
        <f t="shared" ref="O94:P94" si="29">SUM(O92:O93)</f>
        <v>-2000000</v>
      </c>
      <c r="P94" s="331">
        <f t="shared" si="29"/>
        <v>-3000000</v>
      </c>
    </row>
    <row r="110" spans="1:6" x14ac:dyDescent="0.25">
      <c r="A110" s="135" t="s">
        <v>1</v>
      </c>
    </row>
    <row r="111" spans="1:6" x14ac:dyDescent="0.25">
      <c r="A111" s="132" t="s">
        <v>2</v>
      </c>
      <c r="B111" s="899"/>
      <c r="C111" s="899"/>
      <c r="D111" s="899"/>
      <c r="E111" s="899"/>
      <c r="F111" s="899"/>
    </row>
    <row r="112" spans="1:6" x14ac:dyDescent="0.25">
      <c r="A112" s="132" t="s">
        <v>37</v>
      </c>
      <c r="B112" s="900"/>
      <c r="C112" s="900"/>
      <c r="D112" s="900"/>
      <c r="E112" s="900"/>
      <c r="F112" s="900"/>
    </row>
    <row r="113" spans="1:1" x14ac:dyDescent="0.25">
      <c r="A113" s="135" t="s">
        <v>38</v>
      </c>
    </row>
  </sheetData>
  <sortState xmlns:xlrd2="http://schemas.microsoft.com/office/spreadsheetml/2017/richdata2" ref="B35:P53">
    <sortCondition ref="B34:B53"/>
  </sortState>
  <mergeCells count="1">
    <mergeCell ref="B1:P4"/>
  </mergeCells>
  <phoneticPr fontId="48" type="noConversion"/>
  <pageMargins left="0.7" right="0.7" top="0.75" bottom="0.75" header="0.3" footer="0.3"/>
  <pageSetup paperSize="9" scale="6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0015-2F4D-41AA-BDA9-F7DF7F3EDE13}">
  <dimension ref="A1:D15"/>
  <sheetViews>
    <sheetView workbookViewId="0">
      <selection activeCell="B15" sqref="B15"/>
    </sheetView>
  </sheetViews>
  <sheetFormatPr defaultRowHeight="15" x14ac:dyDescent="0.25"/>
  <cols>
    <col min="1" max="1" width="21.140625" customWidth="1"/>
    <col min="2" max="2" width="13.140625" bestFit="1" customWidth="1"/>
    <col min="3" max="3" width="10.5703125" customWidth="1"/>
  </cols>
  <sheetData>
    <row r="1" spans="1:4" x14ac:dyDescent="0.25">
      <c r="A1" s="193" t="s">
        <v>1295</v>
      </c>
    </row>
    <row r="3" spans="1:4" x14ac:dyDescent="0.25">
      <c r="A3" s="177" t="s">
        <v>968</v>
      </c>
      <c r="B3" s="179">
        <f>+C3/C11</f>
        <v>0.58733176052765967</v>
      </c>
      <c r="C3" s="145">
        <f>+'Departmental Summary (3)'!I42</f>
        <v>102484837.54971819</v>
      </c>
    </row>
    <row r="4" spans="1:4" x14ac:dyDescent="0.25">
      <c r="A4" s="177" t="s">
        <v>967</v>
      </c>
      <c r="B4" s="179">
        <f>+C4/C11</f>
        <v>5.2211354788376886E-2</v>
      </c>
      <c r="C4" s="145">
        <f>+'Departmental Summary (3)'!I54</f>
        <v>9110476.5199999996</v>
      </c>
    </row>
    <row r="5" spans="1:4" x14ac:dyDescent="0.25">
      <c r="A5" s="177" t="s">
        <v>908</v>
      </c>
      <c r="B5" s="179">
        <f>+C5/C11</f>
        <v>3.164247205861747E-2</v>
      </c>
      <c r="C5" s="145">
        <f>+'Departmental Summary (3)'!I188</f>
        <v>5521365.9920000006</v>
      </c>
    </row>
    <row r="6" spans="1:4" x14ac:dyDescent="0.25">
      <c r="A6" s="177" t="s">
        <v>614</v>
      </c>
      <c r="B6" s="179">
        <f>+C6/C11</f>
        <v>2.3621632901527297E-2</v>
      </c>
      <c r="C6" s="145">
        <f>+'Departmental Summary (3)'!I67</f>
        <v>4121791.7593920003</v>
      </c>
    </row>
    <row r="7" spans="1:4" x14ac:dyDescent="0.25">
      <c r="A7" s="177" t="s">
        <v>969</v>
      </c>
      <c r="B7" s="179">
        <f>+C7/C11</f>
        <v>1.3960183902335587E-2</v>
      </c>
      <c r="C7" s="145">
        <f>+'Departmental Summary (3)'!I144+'Departmental Summary (3)'!I227+'Departmental Summary (3)'!I228+'Departmental Summary (3)'!I135+'Departmental Summary (3)'!I136+'Departmental Summary (3)'!I137+'Departmental Summary (3)'!I138+'Departmental Summary (3)'!I139</f>
        <v>2435943.8319999999</v>
      </c>
    </row>
    <row r="8" spans="1:4" x14ac:dyDescent="0.25">
      <c r="A8" s="177" t="s">
        <v>970</v>
      </c>
      <c r="B8" s="179">
        <f>+C8/C11</f>
        <v>0.11143761708086687</v>
      </c>
      <c r="C8" s="145">
        <v>19445000</v>
      </c>
    </row>
    <row r="9" spans="1:4" x14ac:dyDescent="0.25">
      <c r="A9" s="177" t="s">
        <v>911</v>
      </c>
      <c r="B9" s="179">
        <f>+C9/C11</f>
        <v>0.17979497874061637</v>
      </c>
      <c r="C9" s="145">
        <f>+'Departmental Summary (3)'!I250-Sheet5!C8-Sheet5!C5-C7</f>
        <v>31372829.509395044</v>
      </c>
    </row>
    <row r="10" spans="1:4" x14ac:dyDescent="0.25">
      <c r="A10" s="177"/>
      <c r="B10" s="177"/>
      <c r="C10" s="145"/>
    </row>
    <row r="11" spans="1:4" x14ac:dyDescent="0.25">
      <c r="A11" s="177"/>
      <c r="B11" s="180">
        <f>SUM(B3:B10)</f>
        <v>1.0000000000000002</v>
      </c>
      <c r="C11" s="178">
        <f>SUM(C3:C10)</f>
        <v>174492245.16250521</v>
      </c>
    </row>
    <row r="13" spans="1:4" x14ac:dyDescent="0.25">
      <c r="C13" s="146">
        <f>+'Departmental Summary (3)'!I254</f>
        <v>174492245.16250521</v>
      </c>
    </row>
    <row r="14" spans="1:4" x14ac:dyDescent="0.25">
      <c r="C14" s="148"/>
    </row>
    <row r="15" spans="1:4" x14ac:dyDescent="0.25">
      <c r="C15" s="148"/>
      <c r="D15" t="s">
        <v>864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88AE-63F4-4891-A7A6-B2020E0C55AB}">
  <sheetPr>
    <tabColor rgb="FFFFFF00"/>
  </sheetPr>
  <dimension ref="A8:I59"/>
  <sheetViews>
    <sheetView topLeftCell="B1" zoomScale="90" zoomScaleNormal="90" workbookViewId="0">
      <pane ySplit="9" topLeftCell="A10" activePane="bottomLeft" state="frozen"/>
      <selection activeCell="C1" sqref="C1"/>
      <selection pane="bottomLeft" activeCell="B18" sqref="B18"/>
    </sheetView>
  </sheetViews>
  <sheetFormatPr defaultColWidth="9.140625" defaultRowHeight="12.75" x14ac:dyDescent="0.2"/>
  <cols>
    <col min="1" max="1" width="4.140625" style="36" hidden="1" customWidth="1"/>
    <col min="2" max="2" width="55.140625" style="40" customWidth="1"/>
    <col min="3" max="3" width="17.85546875" style="39" customWidth="1"/>
    <col min="4" max="6" width="17.85546875" style="36" customWidth="1"/>
    <col min="7" max="7" width="14" style="36" bestFit="1" customWidth="1"/>
    <col min="8" max="8" width="17.28515625" style="38" customWidth="1"/>
    <col min="9" max="9" width="14.5703125" style="37" customWidth="1"/>
    <col min="10" max="10" width="15.5703125" style="36" customWidth="1"/>
    <col min="11" max="11" width="18.85546875" style="36" customWidth="1"/>
    <col min="12" max="16384" width="9.140625" style="36"/>
  </cols>
  <sheetData>
    <row r="8" spans="1:9" ht="15" customHeight="1" x14ac:dyDescent="0.2"/>
    <row r="9" spans="1:9" ht="40.5" customHeight="1" x14ac:dyDescent="0.2">
      <c r="A9" s="36" t="s">
        <v>762</v>
      </c>
      <c r="B9" s="53" t="s">
        <v>547</v>
      </c>
      <c r="C9" s="60" t="s">
        <v>763</v>
      </c>
      <c r="D9" s="60" t="s">
        <v>764</v>
      </c>
      <c r="E9" s="60" t="s">
        <v>765</v>
      </c>
    </row>
    <row r="10" spans="1:9" x14ac:dyDescent="0.2">
      <c r="A10" s="36" t="s">
        <v>757</v>
      </c>
      <c r="B10" s="56" t="s">
        <v>591</v>
      </c>
      <c r="C10" s="54"/>
      <c r="D10" s="62"/>
      <c r="E10" s="62"/>
    </row>
    <row r="11" spans="1:9" x14ac:dyDescent="0.2">
      <c r="A11" s="36" t="s">
        <v>753</v>
      </c>
      <c r="B11" s="55" t="s">
        <v>188</v>
      </c>
      <c r="C11" s="54">
        <v>-80000</v>
      </c>
      <c r="D11" s="63"/>
      <c r="E11" s="63"/>
    </row>
    <row r="12" spans="1:9" x14ac:dyDescent="0.2">
      <c r="A12" s="36" t="s">
        <v>753</v>
      </c>
      <c r="B12" s="55" t="s">
        <v>190</v>
      </c>
      <c r="C12" s="54">
        <v>-1345162</v>
      </c>
      <c r="D12" s="64"/>
      <c r="E12" s="64"/>
    </row>
    <row r="13" spans="1:9" s="57" customFormat="1" x14ac:dyDescent="0.2">
      <c r="A13" s="57" t="s">
        <v>752</v>
      </c>
      <c r="B13" s="53" t="s">
        <v>593</v>
      </c>
      <c r="C13" s="52">
        <f>SUM(C11:C12)</f>
        <v>-1425162</v>
      </c>
      <c r="D13" s="52">
        <f>SUM(D11:D12)</f>
        <v>0</v>
      </c>
      <c r="E13" s="52">
        <f>SUM(E11:E12)</f>
        <v>0</v>
      </c>
      <c r="H13" s="59"/>
      <c r="I13" s="58"/>
    </row>
    <row r="14" spans="1:9" x14ac:dyDescent="0.2">
      <c r="B14" s="55"/>
      <c r="C14" s="54"/>
      <c r="D14" s="63"/>
      <c r="E14" s="63"/>
    </row>
    <row r="15" spans="1:9" x14ac:dyDescent="0.2">
      <c r="A15" s="36" t="s">
        <v>753</v>
      </c>
      <c r="B15" s="56" t="s">
        <v>761</v>
      </c>
      <c r="C15" s="54"/>
      <c r="D15" s="63"/>
      <c r="E15" s="63"/>
    </row>
    <row r="16" spans="1:9" x14ac:dyDescent="0.2">
      <c r="A16" s="36" t="s">
        <v>753</v>
      </c>
      <c r="B16" s="55" t="s">
        <v>760</v>
      </c>
      <c r="C16" s="54">
        <v>0</v>
      </c>
      <c r="D16" s="63"/>
      <c r="E16" s="63"/>
    </row>
    <row r="17" spans="1:9" x14ac:dyDescent="0.2">
      <c r="A17" s="36" t="s">
        <v>753</v>
      </c>
      <c r="B17" s="55" t="s">
        <v>194</v>
      </c>
      <c r="C17" s="54">
        <v>-115593000</v>
      </c>
      <c r="D17" s="63">
        <v>-120972000</v>
      </c>
      <c r="E17" s="63">
        <v>-126832000</v>
      </c>
      <c r="G17" s="39"/>
    </row>
    <row r="18" spans="1:9" x14ac:dyDescent="0.2">
      <c r="A18" s="36" t="s">
        <v>753</v>
      </c>
      <c r="B18" s="55" t="s">
        <v>596</v>
      </c>
      <c r="C18" s="54">
        <v>-1785000</v>
      </c>
      <c r="D18" s="63">
        <v>-2217000</v>
      </c>
      <c r="E18" s="63">
        <v>-2481000</v>
      </c>
    </row>
    <row r="19" spans="1:9" x14ac:dyDescent="0.2">
      <c r="A19" s="36" t="s">
        <v>753</v>
      </c>
      <c r="B19" s="55" t="s">
        <v>597</v>
      </c>
      <c r="C19" s="54">
        <v>0</v>
      </c>
      <c r="D19" s="63"/>
      <c r="E19" s="63"/>
    </row>
    <row r="20" spans="1:9" x14ac:dyDescent="0.2">
      <c r="A20" s="36" t="s">
        <v>753</v>
      </c>
      <c r="B20" s="55" t="s">
        <v>759</v>
      </c>
      <c r="C20" s="54">
        <v>-1696000</v>
      </c>
      <c r="D20" s="63">
        <v>0</v>
      </c>
      <c r="E20" s="63">
        <v>0</v>
      </c>
    </row>
    <row r="21" spans="1:9" x14ac:dyDescent="0.2">
      <c r="A21" s="36" t="s">
        <v>753</v>
      </c>
      <c r="B21" s="55" t="s">
        <v>301</v>
      </c>
      <c r="C21" s="54">
        <v>-2548000</v>
      </c>
      <c r="D21" s="63">
        <v>-2695000</v>
      </c>
      <c r="E21" s="63">
        <v>-2844000</v>
      </c>
    </row>
    <row r="22" spans="1:9" ht="12.75" customHeight="1" x14ac:dyDescent="0.2">
      <c r="B22" s="55" t="s">
        <v>758</v>
      </c>
      <c r="C22" s="54">
        <v>-8000000</v>
      </c>
      <c r="D22" s="63">
        <v>-8000000</v>
      </c>
      <c r="E22" s="63">
        <v>-8000000</v>
      </c>
    </row>
    <row r="23" spans="1:9" x14ac:dyDescent="0.2">
      <c r="B23" s="55" t="s">
        <v>311</v>
      </c>
      <c r="C23" s="54"/>
      <c r="D23" s="63"/>
      <c r="E23" s="63"/>
    </row>
    <row r="24" spans="1:9" x14ac:dyDescent="0.2">
      <c r="A24" s="36" t="s">
        <v>752</v>
      </c>
      <c r="B24" s="53" t="s">
        <v>598</v>
      </c>
      <c r="C24" s="52">
        <f>SUM(C16:C23)</f>
        <v>-129622000</v>
      </c>
      <c r="D24" s="52">
        <f>SUM(D16:D23)</f>
        <v>-133884000</v>
      </c>
      <c r="E24" s="52">
        <f>SUM(E16:E23)</f>
        <v>-140157000</v>
      </c>
      <c r="G24" s="39"/>
    </row>
    <row r="25" spans="1:9" x14ac:dyDescent="0.2">
      <c r="B25" s="43"/>
      <c r="C25" s="51"/>
      <c r="D25" s="63"/>
      <c r="E25" s="63"/>
      <c r="I25" s="36"/>
    </row>
    <row r="26" spans="1:9" x14ac:dyDescent="0.2">
      <c r="A26" s="36" t="s">
        <v>757</v>
      </c>
      <c r="B26" s="50" t="s">
        <v>756</v>
      </c>
      <c r="C26" s="46"/>
      <c r="D26" s="63"/>
      <c r="E26" s="63"/>
      <c r="I26" s="36"/>
    </row>
    <row r="27" spans="1:9" x14ac:dyDescent="0.2">
      <c r="A27" s="36" t="s">
        <v>753</v>
      </c>
      <c r="B27" s="49" t="s">
        <v>755</v>
      </c>
      <c r="C27" s="46"/>
      <c r="D27" s="63"/>
      <c r="E27" s="63"/>
      <c r="I27" s="36"/>
    </row>
    <row r="28" spans="1:9" x14ac:dyDescent="0.2">
      <c r="B28" s="49" t="s">
        <v>186</v>
      </c>
      <c r="C28" s="46">
        <v>-21000</v>
      </c>
      <c r="D28" s="63"/>
      <c r="E28" s="63"/>
      <c r="I28" s="36"/>
    </row>
    <row r="29" spans="1:9" x14ac:dyDescent="0.2">
      <c r="B29" s="48" t="s">
        <v>601</v>
      </c>
      <c r="C29" s="46">
        <f>-360-60000-120000</f>
        <v>-180360</v>
      </c>
      <c r="D29" s="63"/>
      <c r="E29" s="63"/>
      <c r="I29" s="36"/>
    </row>
    <row r="30" spans="1:9" x14ac:dyDescent="0.2">
      <c r="B30" s="48" t="s">
        <v>754</v>
      </c>
      <c r="C30" s="46"/>
      <c r="D30" s="63"/>
      <c r="E30" s="63"/>
      <c r="I30" s="36"/>
    </row>
    <row r="31" spans="1:9" x14ac:dyDescent="0.2">
      <c r="A31" s="36" t="s">
        <v>753</v>
      </c>
      <c r="B31" s="48" t="s">
        <v>602</v>
      </c>
      <c r="C31" s="46"/>
      <c r="D31" s="63"/>
      <c r="E31" s="63"/>
      <c r="I31" s="36"/>
    </row>
    <row r="32" spans="1:9" x14ac:dyDescent="0.2">
      <c r="A32" s="36" t="s">
        <v>752</v>
      </c>
      <c r="B32" s="45" t="s">
        <v>603</v>
      </c>
      <c r="C32" s="47">
        <f>SUM(C27:C31)</f>
        <v>-201360</v>
      </c>
      <c r="D32" s="47">
        <f>SUM(D27:D31)</f>
        <v>0</v>
      </c>
      <c r="E32" s="47">
        <f>SUM(E27:E31)</f>
        <v>0</v>
      </c>
      <c r="I32" s="36"/>
    </row>
    <row r="33" spans="1:9" x14ac:dyDescent="0.2">
      <c r="B33" s="43"/>
      <c r="C33" s="46"/>
      <c r="D33" s="61"/>
      <c r="E33" s="61"/>
      <c r="I33" s="36"/>
    </row>
    <row r="34" spans="1:9" x14ac:dyDescent="0.2">
      <c r="A34" s="36" t="s">
        <v>752</v>
      </c>
      <c r="B34" s="45" t="s">
        <v>751</v>
      </c>
      <c r="C34" s="44">
        <f>C32+C24+C13</f>
        <v>-131248522</v>
      </c>
      <c r="D34" s="44">
        <f>D32+D24+D13</f>
        <v>-133884000</v>
      </c>
      <c r="E34" s="44">
        <f>E32+E24+E13</f>
        <v>-140157000</v>
      </c>
      <c r="I34" s="36"/>
    </row>
    <row r="35" spans="1:9" x14ac:dyDescent="0.2">
      <c r="B35" s="43"/>
      <c r="C35" s="42"/>
      <c r="I35" s="36"/>
    </row>
    <row r="36" spans="1:9" x14ac:dyDescent="0.2">
      <c r="C36" s="41"/>
    </row>
    <row r="38" spans="1:9" x14ac:dyDescent="0.2">
      <c r="B38" s="40" t="s">
        <v>835</v>
      </c>
      <c r="C38" s="39">
        <v>86819236</v>
      </c>
      <c r="D38" s="124">
        <f>C38*106.65/100</f>
        <v>92592715.193999991</v>
      </c>
      <c r="E38" s="124">
        <f>D38*106.65/100</f>
        <v>98750130.754400998</v>
      </c>
      <c r="I38" s="36"/>
    </row>
    <row r="39" spans="1:9" x14ac:dyDescent="0.2">
      <c r="B39" s="40" t="s">
        <v>836</v>
      </c>
      <c r="C39" s="39">
        <v>45971403.159999996</v>
      </c>
      <c r="D39" s="124">
        <f>C39*106.65/100</f>
        <v>49028501.470140003</v>
      </c>
      <c r="E39" s="124">
        <f>D39*106.65/100</f>
        <v>52288896.817904323</v>
      </c>
      <c r="I39" s="36"/>
    </row>
    <row r="40" spans="1:9" x14ac:dyDescent="0.2">
      <c r="I40" s="36"/>
    </row>
    <row r="41" spans="1:9" ht="13.5" thickBot="1" x14ac:dyDescent="0.25">
      <c r="C41" s="125">
        <f>SUM(C38:C40)</f>
        <v>132790639.16</v>
      </c>
      <c r="D41" s="125">
        <f>SUM(D38:D40)</f>
        <v>141621216.66413999</v>
      </c>
      <c r="E41" s="125">
        <f>SUM(E38:E40)</f>
        <v>151039027.57230532</v>
      </c>
      <c r="I41" s="36"/>
    </row>
    <row r="42" spans="1:9" ht="13.5" thickTop="1" x14ac:dyDescent="0.2">
      <c r="I42" s="36"/>
    </row>
    <row r="43" spans="1:9" x14ac:dyDescent="0.2">
      <c r="I43" s="36"/>
    </row>
    <row r="44" spans="1:9" x14ac:dyDescent="0.2">
      <c r="I44" s="36"/>
    </row>
    <row r="45" spans="1:9" x14ac:dyDescent="0.2">
      <c r="I45" s="36"/>
    </row>
    <row r="46" spans="1:9" x14ac:dyDescent="0.2">
      <c r="I46" s="36"/>
    </row>
    <row r="47" spans="1:9" x14ac:dyDescent="0.2">
      <c r="I47" s="36"/>
    </row>
    <row r="48" spans="1:9" x14ac:dyDescent="0.2">
      <c r="I48" s="36"/>
    </row>
    <row r="49" spans="9:9" x14ac:dyDescent="0.2">
      <c r="I49" s="36"/>
    </row>
    <row r="50" spans="9:9" x14ac:dyDescent="0.2">
      <c r="I50" s="36"/>
    </row>
    <row r="51" spans="9:9" x14ac:dyDescent="0.2">
      <c r="I51" s="36"/>
    </row>
    <row r="52" spans="9:9" x14ac:dyDescent="0.2">
      <c r="I52" s="36"/>
    </row>
    <row r="53" spans="9:9" x14ac:dyDescent="0.2">
      <c r="I53" s="36"/>
    </row>
    <row r="54" spans="9:9" x14ac:dyDescent="0.2">
      <c r="I54" s="36"/>
    </row>
    <row r="55" spans="9:9" x14ac:dyDescent="0.2">
      <c r="I55" s="36"/>
    </row>
    <row r="56" spans="9:9" x14ac:dyDescent="0.2">
      <c r="I56" s="36"/>
    </row>
    <row r="57" spans="9:9" x14ac:dyDescent="0.2">
      <c r="I57" s="36"/>
    </row>
    <row r="58" spans="9:9" x14ac:dyDescent="0.2">
      <c r="I58" s="36"/>
    </row>
    <row r="59" spans="9:9" x14ac:dyDescent="0.2">
      <c r="I59" s="3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3B8A-E805-4BD7-B7CF-5761BDFCEE1B}">
  <dimension ref="A1:G121"/>
  <sheetViews>
    <sheetView workbookViewId="0">
      <selection activeCell="D11" sqref="D11"/>
    </sheetView>
  </sheetViews>
  <sheetFormatPr defaultColWidth="9.140625" defaultRowHeight="15" x14ac:dyDescent="0.25"/>
  <cols>
    <col min="1" max="1" width="30.85546875" style="18" bestFit="1" customWidth="1"/>
    <col min="2" max="2" width="1.5703125" style="18" bestFit="1" customWidth="1"/>
    <col min="3" max="16384" width="9.140625" style="18"/>
  </cols>
  <sheetData>
    <row r="1" spans="1:7" ht="15.75" thickBot="1" x14ac:dyDescent="0.3">
      <c r="A1" s="35" t="s">
        <v>750</v>
      </c>
      <c r="B1" s="27"/>
    </row>
    <row r="2" spans="1:7" ht="18.75" customHeight="1" thickBot="1" x14ac:dyDescent="0.3">
      <c r="A2" s="23" t="s">
        <v>749</v>
      </c>
      <c r="B2" s="26"/>
      <c r="C2" s="34"/>
      <c r="D2" s="33"/>
      <c r="E2" s="33"/>
      <c r="F2" s="33"/>
      <c r="G2" s="32"/>
    </row>
    <row r="3" spans="1:7" ht="16.5" customHeight="1" x14ac:dyDescent="0.25">
      <c r="A3" s="21" t="s">
        <v>748</v>
      </c>
      <c r="B3" s="26"/>
      <c r="C3" s="31"/>
      <c r="D3" s="31"/>
      <c r="E3" s="31"/>
      <c r="F3" s="31"/>
      <c r="G3" s="31"/>
    </row>
    <row r="4" spans="1:7" ht="24" customHeight="1" x14ac:dyDescent="0.25">
      <c r="A4" s="24" t="s">
        <v>747</v>
      </c>
      <c r="B4" s="27"/>
    </row>
    <row r="5" spans="1:7" ht="24" customHeight="1" x14ac:dyDescent="0.25">
      <c r="A5" s="24" t="s">
        <v>746</v>
      </c>
      <c r="B5" s="27"/>
    </row>
    <row r="6" spans="1:7" ht="14.25" customHeight="1" x14ac:dyDescent="0.25">
      <c r="A6" s="21" t="s">
        <v>745</v>
      </c>
      <c r="B6" s="26"/>
      <c r="C6" s="25"/>
      <c r="D6" s="25"/>
      <c r="E6" s="25"/>
      <c r="F6" s="25"/>
      <c r="G6" s="25"/>
    </row>
    <row r="7" spans="1:7" ht="24" customHeight="1" x14ac:dyDescent="0.25">
      <c r="A7" s="24" t="s">
        <v>744</v>
      </c>
      <c r="B7" s="27"/>
    </row>
    <row r="8" spans="1:7" ht="24" customHeight="1" x14ac:dyDescent="0.25">
      <c r="A8" s="24" t="s">
        <v>743</v>
      </c>
      <c r="B8" s="27"/>
    </row>
    <row r="9" spans="1:7" ht="24" customHeight="1" x14ac:dyDescent="0.25">
      <c r="A9" s="24" t="s">
        <v>742</v>
      </c>
      <c r="B9" s="27"/>
    </row>
    <row r="10" spans="1:7" ht="24" customHeight="1" x14ac:dyDescent="0.25">
      <c r="A10" s="24" t="s">
        <v>741</v>
      </c>
      <c r="B10" s="27"/>
    </row>
    <row r="11" spans="1:7" ht="24" customHeight="1" x14ac:dyDescent="0.25">
      <c r="A11" s="24" t="s">
        <v>740</v>
      </c>
      <c r="B11" s="27"/>
    </row>
    <row r="12" spans="1:7" ht="24" customHeight="1" x14ac:dyDescent="0.25">
      <c r="A12" s="24" t="s">
        <v>739</v>
      </c>
      <c r="B12" s="27"/>
    </row>
    <row r="13" spans="1:7" ht="24" customHeight="1" x14ac:dyDescent="0.25">
      <c r="A13" s="24" t="s">
        <v>738</v>
      </c>
      <c r="B13" s="27"/>
    </row>
    <row r="14" spans="1:7" ht="24" customHeight="1" x14ac:dyDescent="0.25">
      <c r="A14" s="24" t="s">
        <v>737</v>
      </c>
      <c r="B14" s="27"/>
    </row>
    <row r="15" spans="1:7" ht="24" customHeight="1" x14ac:dyDescent="0.25">
      <c r="A15" s="24" t="s">
        <v>736</v>
      </c>
      <c r="B15" s="27"/>
    </row>
    <row r="16" spans="1:7" ht="24" customHeight="1" x14ac:dyDescent="0.25">
      <c r="A16" s="24" t="s">
        <v>735</v>
      </c>
      <c r="B16" s="27"/>
    </row>
    <row r="17" spans="1:7" ht="24" customHeight="1" x14ac:dyDescent="0.25">
      <c r="A17" s="24" t="s">
        <v>734</v>
      </c>
      <c r="B17" s="27"/>
    </row>
    <row r="18" spans="1:7" ht="24" customHeight="1" x14ac:dyDescent="0.25">
      <c r="A18" s="24" t="s">
        <v>733</v>
      </c>
      <c r="B18" s="27"/>
    </row>
    <row r="19" spans="1:7" ht="24" customHeight="1" x14ac:dyDescent="0.25">
      <c r="A19" s="24" t="s">
        <v>732</v>
      </c>
      <c r="B19" s="27"/>
    </row>
    <row r="20" spans="1:7" ht="24" customHeight="1" x14ac:dyDescent="0.25">
      <c r="A20" s="24" t="s">
        <v>731</v>
      </c>
      <c r="B20" s="27"/>
    </row>
    <row r="21" spans="1:7" ht="17.25" customHeight="1" x14ac:dyDescent="0.25">
      <c r="A21" s="21" t="s">
        <v>730</v>
      </c>
      <c r="B21" s="26"/>
      <c r="C21" s="25"/>
      <c r="D21" s="25"/>
      <c r="E21" s="25"/>
      <c r="F21" s="25"/>
      <c r="G21" s="25"/>
    </row>
    <row r="22" spans="1:7" ht="24" customHeight="1" thickBot="1" x14ac:dyDescent="0.3">
      <c r="A22" s="24" t="s">
        <v>729</v>
      </c>
      <c r="B22" s="27"/>
    </row>
    <row r="23" spans="1:7" ht="15" customHeight="1" x14ac:dyDescent="0.25">
      <c r="A23" s="23" t="s">
        <v>728</v>
      </c>
      <c r="B23" s="26"/>
      <c r="C23" s="30"/>
      <c r="D23" s="29"/>
      <c r="E23" s="29"/>
      <c r="F23" s="29"/>
      <c r="G23" s="28"/>
    </row>
    <row r="24" spans="1:7" ht="18" customHeight="1" x14ac:dyDescent="0.25">
      <c r="A24" s="21" t="s">
        <v>727</v>
      </c>
      <c r="B24" s="26"/>
      <c r="C24" s="25"/>
      <c r="D24" s="25"/>
      <c r="E24" s="25"/>
      <c r="F24" s="25"/>
      <c r="G24" s="25"/>
    </row>
    <row r="25" spans="1:7" ht="24" customHeight="1" x14ac:dyDescent="0.25">
      <c r="A25" s="24" t="s">
        <v>726</v>
      </c>
      <c r="B25" s="27"/>
    </row>
    <row r="26" spans="1:7" ht="24" customHeight="1" x14ac:dyDescent="0.25">
      <c r="A26" s="24" t="s">
        <v>725</v>
      </c>
      <c r="B26" s="27"/>
    </row>
    <row r="27" spans="1:7" ht="24" customHeight="1" x14ac:dyDescent="0.25">
      <c r="A27" s="24" t="s">
        <v>724</v>
      </c>
      <c r="B27" s="27"/>
    </row>
    <row r="28" spans="1:7" ht="24" customHeight="1" x14ac:dyDescent="0.25">
      <c r="A28" s="24" t="s">
        <v>723</v>
      </c>
      <c r="B28" s="27"/>
    </row>
    <row r="29" spans="1:7" ht="24" customHeight="1" x14ac:dyDescent="0.25">
      <c r="A29" s="24" t="s">
        <v>722</v>
      </c>
      <c r="B29" s="27"/>
    </row>
    <row r="30" spans="1:7" ht="24" customHeight="1" x14ac:dyDescent="0.25">
      <c r="A30" s="24" t="s">
        <v>721</v>
      </c>
      <c r="B30" s="27"/>
    </row>
    <row r="31" spans="1:7" ht="24" customHeight="1" x14ac:dyDescent="0.25">
      <c r="A31" s="24" t="s">
        <v>720</v>
      </c>
      <c r="B31" s="27"/>
    </row>
    <row r="32" spans="1:7" ht="24" customHeight="1" x14ac:dyDescent="0.25">
      <c r="A32" s="24" t="s">
        <v>719</v>
      </c>
      <c r="B32" s="27"/>
    </row>
    <row r="33" spans="1:7" ht="24" customHeight="1" x14ac:dyDescent="0.25">
      <c r="A33" s="24" t="s">
        <v>718</v>
      </c>
      <c r="B33" s="27"/>
    </row>
    <row r="34" spans="1:7" ht="24" customHeight="1" x14ac:dyDescent="0.25">
      <c r="A34" s="24" t="s">
        <v>717</v>
      </c>
      <c r="B34" s="27"/>
    </row>
    <row r="35" spans="1:7" ht="24" customHeight="1" x14ac:dyDescent="0.25">
      <c r="A35" s="24" t="s">
        <v>716</v>
      </c>
      <c r="B35" s="27"/>
    </row>
    <row r="36" spans="1:7" ht="24" customHeight="1" x14ac:dyDescent="0.25">
      <c r="A36" s="24" t="s">
        <v>715</v>
      </c>
      <c r="B36" s="27"/>
    </row>
    <row r="37" spans="1:7" ht="24" customHeight="1" x14ac:dyDescent="0.25">
      <c r="A37" s="24" t="s">
        <v>714</v>
      </c>
      <c r="B37" s="27"/>
    </row>
    <row r="38" spans="1:7" ht="24" customHeight="1" x14ac:dyDescent="0.25">
      <c r="A38" s="24" t="s">
        <v>713</v>
      </c>
      <c r="B38" s="27"/>
    </row>
    <row r="39" spans="1:7" ht="24" customHeight="1" x14ac:dyDescent="0.25">
      <c r="A39" s="24" t="s">
        <v>712</v>
      </c>
      <c r="B39" s="27"/>
    </row>
    <row r="40" spans="1:7" ht="24" customHeight="1" x14ac:dyDescent="0.25">
      <c r="A40" s="24" t="s">
        <v>711</v>
      </c>
      <c r="B40" s="27"/>
    </row>
    <row r="41" spans="1:7" ht="24" customHeight="1" x14ac:dyDescent="0.25">
      <c r="A41" s="24" t="s">
        <v>710</v>
      </c>
      <c r="B41" s="27"/>
    </row>
    <row r="42" spans="1:7" ht="24" customHeight="1" x14ac:dyDescent="0.25">
      <c r="A42" s="24" t="s">
        <v>709</v>
      </c>
      <c r="B42" s="27"/>
    </row>
    <row r="43" spans="1:7" ht="24" customHeight="1" x14ac:dyDescent="0.25">
      <c r="A43" s="24" t="s">
        <v>708</v>
      </c>
      <c r="B43" s="27"/>
    </row>
    <row r="44" spans="1:7" ht="24" customHeight="1" x14ac:dyDescent="0.25">
      <c r="A44" s="24" t="s">
        <v>707</v>
      </c>
      <c r="B44" s="27"/>
    </row>
    <row r="45" spans="1:7" ht="24" customHeight="1" x14ac:dyDescent="0.25">
      <c r="A45" s="24" t="s">
        <v>706</v>
      </c>
      <c r="B45" s="27"/>
    </row>
    <row r="46" spans="1:7" ht="18.75" customHeight="1" x14ac:dyDescent="0.25">
      <c r="A46" s="21" t="s">
        <v>705</v>
      </c>
      <c r="B46" s="26"/>
      <c r="C46" s="25"/>
      <c r="D46" s="25"/>
      <c r="E46" s="25"/>
      <c r="F46" s="25"/>
      <c r="G46" s="25"/>
    </row>
    <row r="47" spans="1:7" ht="24" customHeight="1" x14ac:dyDescent="0.25">
      <c r="A47" s="24" t="s">
        <v>704</v>
      </c>
      <c r="B47" s="27"/>
    </row>
    <row r="48" spans="1:7" ht="24" customHeight="1" x14ac:dyDescent="0.25">
      <c r="A48" s="24" t="s">
        <v>703</v>
      </c>
      <c r="B48" s="27"/>
    </row>
    <row r="49" spans="1:7" ht="24" customHeight="1" x14ac:dyDescent="0.25">
      <c r="A49" s="24" t="s">
        <v>702</v>
      </c>
      <c r="B49" s="27"/>
    </row>
    <row r="50" spans="1:7" ht="24" customHeight="1" x14ac:dyDescent="0.25">
      <c r="A50" s="24" t="s">
        <v>701</v>
      </c>
      <c r="B50" s="27"/>
    </row>
    <row r="51" spans="1:7" ht="24" customHeight="1" x14ac:dyDescent="0.25">
      <c r="A51" s="24" t="s">
        <v>700</v>
      </c>
      <c r="B51" s="27"/>
    </row>
    <row r="52" spans="1:7" ht="15" customHeight="1" x14ac:dyDescent="0.25">
      <c r="A52" s="21" t="s">
        <v>699</v>
      </c>
      <c r="B52" s="26"/>
      <c r="C52" s="25"/>
      <c r="D52" s="25"/>
      <c r="E52" s="25"/>
      <c r="F52" s="25"/>
      <c r="G52" s="25"/>
    </row>
    <row r="53" spans="1:7" ht="24" customHeight="1" x14ac:dyDescent="0.25">
      <c r="A53" s="24" t="s">
        <v>698</v>
      </c>
      <c r="B53" s="27"/>
    </row>
    <row r="54" spans="1:7" ht="24" customHeight="1" x14ac:dyDescent="0.25">
      <c r="A54" s="24" t="s">
        <v>697</v>
      </c>
      <c r="B54" s="27"/>
    </row>
    <row r="55" spans="1:7" ht="24" customHeight="1" x14ac:dyDescent="0.25">
      <c r="A55" s="24" t="s">
        <v>696</v>
      </c>
      <c r="B55" s="27"/>
    </row>
    <row r="56" spans="1:7" ht="24" customHeight="1" x14ac:dyDescent="0.25">
      <c r="A56" s="24" t="s">
        <v>695</v>
      </c>
      <c r="B56" s="27"/>
    </row>
    <row r="57" spans="1:7" ht="24" customHeight="1" x14ac:dyDescent="0.25">
      <c r="A57" s="24" t="s">
        <v>694</v>
      </c>
      <c r="B57" s="27"/>
    </row>
    <row r="58" spans="1:7" ht="20.25" customHeight="1" x14ac:dyDescent="0.25">
      <c r="A58" s="21" t="s">
        <v>693</v>
      </c>
      <c r="B58" s="26"/>
      <c r="C58" s="25"/>
      <c r="D58" s="25"/>
      <c r="E58" s="25"/>
      <c r="F58" s="25"/>
      <c r="G58" s="25"/>
    </row>
    <row r="59" spans="1:7" ht="24" customHeight="1" x14ac:dyDescent="0.25">
      <c r="A59" s="24" t="s">
        <v>693</v>
      </c>
      <c r="B59" s="27"/>
    </row>
    <row r="60" spans="1:7" ht="24" customHeight="1" x14ac:dyDescent="0.25">
      <c r="A60" s="24" t="s">
        <v>692</v>
      </c>
      <c r="B60" s="27"/>
    </row>
    <row r="61" spans="1:7" ht="15.75" customHeight="1" x14ac:dyDescent="0.25">
      <c r="A61" s="21" t="s">
        <v>691</v>
      </c>
      <c r="B61" s="26"/>
      <c r="C61" s="25"/>
      <c r="D61" s="25"/>
      <c r="E61" s="25"/>
      <c r="F61" s="25"/>
      <c r="G61" s="25"/>
    </row>
    <row r="62" spans="1:7" ht="24" customHeight="1" x14ac:dyDescent="0.25">
      <c r="A62" s="24" t="s">
        <v>690</v>
      </c>
      <c r="B62" s="27"/>
    </row>
    <row r="63" spans="1:7" ht="24" customHeight="1" x14ac:dyDescent="0.25">
      <c r="A63" s="24" t="s">
        <v>689</v>
      </c>
      <c r="B63" s="27"/>
    </row>
    <row r="64" spans="1:7" ht="24" customHeight="1" x14ac:dyDescent="0.25">
      <c r="A64" s="24" t="s">
        <v>688</v>
      </c>
      <c r="B64" s="27"/>
    </row>
    <row r="65" spans="1:7" ht="24" customHeight="1" x14ac:dyDescent="0.25">
      <c r="A65" s="24" t="s">
        <v>687</v>
      </c>
      <c r="B65" s="27"/>
    </row>
    <row r="66" spans="1:7" ht="24" customHeight="1" x14ac:dyDescent="0.25">
      <c r="A66" s="24" t="s">
        <v>686</v>
      </c>
      <c r="B66" s="27"/>
    </row>
    <row r="67" spans="1:7" ht="24" customHeight="1" x14ac:dyDescent="0.25">
      <c r="A67" s="24" t="s">
        <v>685</v>
      </c>
      <c r="B67" s="27"/>
    </row>
    <row r="68" spans="1:7" ht="24" customHeight="1" x14ac:dyDescent="0.25">
      <c r="A68" s="24" t="s">
        <v>684</v>
      </c>
      <c r="B68" s="27"/>
    </row>
    <row r="69" spans="1:7" ht="19.5" customHeight="1" x14ac:dyDescent="0.25">
      <c r="A69" s="23" t="s">
        <v>683</v>
      </c>
      <c r="B69" s="27"/>
      <c r="C69" s="22"/>
      <c r="D69" s="22"/>
      <c r="E69" s="22"/>
      <c r="F69" s="22"/>
      <c r="G69" s="22"/>
    </row>
    <row r="70" spans="1:7" ht="18.75" customHeight="1" x14ac:dyDescent="0.25">
      <c r="A70" s="21" t="s">
        <v>682</v>
      </c>
      <c r="B70" s="26"/>
      <c r="C70" s="25"/>
      <c r="D70" s="25"/>
      <c r="E70" s="25"/>
      <c r="F70" s="25"/>
      <c r="G70" s="25"/>
    </row>
    <row r="71" spans="1:7" ht="24" customHeight="1" x14ac:dyDescent="0.25">
      <c r="A71" s="24" t="s">
        <v>681</v>
      </c>
      <c r="B71" s="27"/>
    </row>
    <row r="72" spans="1:7" ht="24" customHeight="1" x14ac:dyDescent="0.25">
      <c r="A72" s="24" t="s">
        <v>680</v>
      </c>
      <c r="B72" s="27"/>
    </row>
    <row r="73" spans="1:7" ht="24" customHeight="1" x14ac:dyDescent="0.25">
      <c r="A73" s="24" t="s">
        <v>679</v>
      </c>
      <c r="B73" s="27"/>
    </row>
    <row r="74" spans="1:7" ht="24" customHeight="1" x14ac:dyDescent="0.25">
      <c r="A74" s="24" t="s">
        <v>678</v>
      </c>
      <c r="B74" s="27"/>
    </row>
    <row r="75" spans="1:7" ht="24" customHeight="1" x14ac:dyDescent="0.25">
      <c r="A75" s="24" t="s">
        <v>677</v>
      </c>
      <c r="B75" s="27"/>
    </row>
    <row r="76" spans="1:7" ht="24" customHeight="1" x14ac:dyDescent="0.25">
      <c r="A76" s="24" t="s">
        <v>676</v>
      </c>
      <c r="B76" s="27"/>
    </row>
    <row r="77" spans="1:7" ht="24" customHeight="1" x14ac:dyDescent="0.25">
      <c r="A77" s="24" t="s">
        <v>675</v>
      </c>
      <c r="B77" s="27"/>
    </row>
    <row r="78" spans="1:7" ht="24" customHeight="1" x14ac:dyDescent="0.25">
      <c r="A78" s="24" t="s">
        <v>674</v>
      </c>
      <c r="B78" s="27"/>
    </row>
    <row r="79" spans="1:7" ht="24" customHeight="1" x14ac:dyDescent="0.25">
      <c r="A79" s="24" t="s">
        <v>673</v>
      </c>
      <c r="B79" s="27"/>
    </row>
    <row r="80" spans="1:7" ht="24" customHeight="1" x14ac:dyDescent="0.25">
      <c r="A80" s="24" t="s">
        <v>672</v>
      </c>
      <c r="B80" s="27"/>
    </row>
    <row r="81" spans="1:7" ht="15.75" customHeight="1" x14ac:dyDescent="0.25">
      <c r="A81" s="21" t="s">
        <v>671</v>
      </c>
      <c r="B81" s="26"/>
      <c r="C81" s="25"/>
      <c r="D81" s="25"/>
      <c r="E81" s="25"/>
      <c r="F81" s="25"/>
      <c r="G81" s="25"/>
    </row>
    <row r="82" spans="1:7" ht="24" customHeight="1" x14ac:dyDescent="0.25">
      <c r="A82" s="24" t="s">
        <v>670</v>
      </c>
      <c r="B82" s="27"/>
    </row>
    <row r="83" spans="1:7" ht="24" customHeight="1" x14ac:dyDescent="0.25">
      <c r="A83" s="24" t="s">
        <v>669</v>
      </c>
      <c r="B83" s="27"/>
    </row>
    <row r="84" spans="1:7" ht="24" customHeight="1" x14ac:dyDescent="0.25">
      <c r="A84" s="24" t="s">
        <v>668</v>
      </c>
      <c r="B84" s="27"/>
    </row>
    <row r="85" spans="1:7" ht="24" customHeight="1" x14ac:dyDescent="0.25">
      <c r="A85" s="24" t="s">
        <v>667</v>
      </c>
      <c r="B85" s="27"/>
    </row>
    <row r="86" spans="1:7" ht="24" customHeight="1" x14ac:dyDescent="0.25">
      <c r="A86" s="24" t="s">
        <v>666</v>
      </c>
      <c r="B86" s="27"/>
    </row>
    <row r="87" spans="1:7" ht="24" customHeight="1" x14ac:dyDescent="0.25">
      <c r="A87" s="24" t="s">
        <v>665</v>
      </c>
      <c r="B87" s="27"/>
    </row>
    <row r="88" spans="1:7" ht="15.75" customHeight="1" x14ac:dyDescent="0.25">
      <c r="A88" s="21" t="s">
        <v>664</v>
      </c>
      <c r="B88" s="26"/>
      <c r="C88" s="25"/>
      <c r="D88" s="25"/>
      <c r="E88" s="25"/>
      <c r="F88" s="25"/>
      <c r="G88" s="25"/>
    </row>
    <row r="89" spans="1:7" ht="24" customHeight="1" x14ac:dyDescent="0.25">
      <c r="A89" s="24" t="s">
        <v>663</v>
      </c>
      <c r="B89" s="27"/>
    </row>
    <row r="90" spans="1:7" ht="24" customHeight="1" x14ac:dyDescent="0.25">
      <c r="A90" s="24" t="s">
        <v>662</v>
      </c>
      <c r="B90" s="27"/>
    </row>
    <row r="91" spans="1:7" ht="24" customHeight="1" x14ac:dyDescent="0.25">
      <c r="A91" s="24" t="s">
        <v>661</v>
      </c>
      <c r="B91" s="27"/>
    </row>
    <row r="92" spans="1:7" ht="24" customHeight="1" x14ac:dyDescent="0.25">
      <c r="A92" s="24" t="s">
        <v>660</v>
      </c>
      <c r="B92" s="27"/>
    </row>
    <row r="93" spans="1:7" ht="24" customHeight="1" x14ac:dyDescent="0.25">
      <c r="A93" s="24" t="s">
        <v>659</v>
      </c>
      <c r="B93" s="27"/>
    </row>
    <row r="94" spans="1:7" ht="24" customHeight="1" x14ac:dyDescent="0.25">
      <c r="A94" s="24" t="s">
        <v>658</v>
      </c>
      <c r="B94" s="27"/>
    </row>
    <row r="95" spans="1:7" ht="24" customHeight="1" x14ac:dyDescent="0.25">
      <c r="A95" s="23" t="s">
        <v>657</v>
      </c>
      <c r="B95" s="27"/>
      <c r="C95" s="22"/>
      <c r="D95" s="22"/>
      <c r="E95" s="22"/>
      <c r="F95" s="22"/>
      <c r="G95" s="22"/>
    </row>
    <row r="96" spans="1:7" ht="15" customHeight="1" x14ac:dyDescent="0.25">
      <c r="A96" s="21" t="s">
        <v>656</v>
      </c>
      <c r="B96" s="26"/>
      <c r="C96" s="25"/>
      <c r="D96" s="25"/>
      <c r="E96" s="25"/>
      <c r="F96" s="25"/>
      <c r="G96" s="25"/>
    </row>
    <row r="97" spans="1:7" ht="24" customHeight="1" x14ac:dyDescent="0.25">
      <c r="A97" s="24" t="s">
        <v>655</v>
      </c>
      <c r="B97" s="27"/>
    </row>
    <row r="98" spans="1:7" ht="24" customHeight="1" x14ac:dyDescent="0.25">
      <c r="A98" s="24" t="s">
        <v>654</v>
      </c>
      <c r="B98" s="27"/>
    </row>
    <row r="99" spans="1:7" ht="24" customHeight="1" x14ac:dyDescent="0.25">
      <c r="A99" s="24" t="s">
        <v>653</v>
      </c>
      <c r="B99" s="27"/>
    </row>
    <row r="100" spans="1:7" ht="16.5" customHeight="1" x14ac:dyDescent="0.25">
      <c r="A100" s="21" t="s">
        <v>652</v>
      </c>
      <c r="B100" s="26"/>
      <c r="C100" s="25"/>
      <c r="D100" s="25"/>
      <c r="E100" s="25"/>
      <c r="F100" s="25"/>
      <c r="G100" s="25"/>
    </row>
    <row r="101" spans="1:7" ht="24" customHeight="1" x14ac:dyDescent="0.25">
      <c r="A101" s="24" t="s">
        <v>651</v>
      </c>
      <c r="B101" s="27"/>
    </row>
    <row r="102" spans="1:7" ht="24" customHeight="1" x14ac:dyDescent="0.25">
      <c r="A102" s="24" t="s">
        <v>650</v>
      </c>
      <c r="B102" s="27"/>
    </row>
    <row r="103" spans="1:7" ht="24" customHeight="1" x14ac:dyDescent="0.25">
      <c r="A103" s="24" t="s">
        <v>649</v>
      </c>
      <c r="B103" s="27"/>
    </row>
    <row r="104" spans="1:7" ht="12.75" customHeight="1" x14ac:dyDescent="0.25">
      <c r="A104" s="21" t="s">
        <v>648</v>
      </c>
      <c r="B104" s="26"/>
      <c r="C104" s="25"/>
      <c r="D104" s="25"/>
      <c r="E104" s="25"/>
      <c r="F104" s="25"/>
      <c r="G104" s="25"/>
    </row>
    <row r="105" spans="1:7" ht="24" customHeight="1" x14ac:dyDescent="0.25">
      <c r="A105" s="24" t="s">
        <v>647</v>
      </c>
      <c r="B105" s="27"/>
    </row>
    <row r="106" spans="1:7" ht="24" customHeight="1" x14ac:dyDescent="0.25">
      <c r="A106" s="24" t="s">
        <v>646</v>
      </c>
      <c r="B106" s="27"/>
    </row>
    <row r="107" spans="1:7" ht="24" customHeight="1" x14ac:dyDescent="0.25">
      <c r="A107" s="24" t="s">
        <v>645</v>
      </c>
      <c r="B107" s="27"/>
    </row>
    <row r="108" spans="1:7" ht="24" customHeight="1" x14ac:dyDescent="0.25">
      <c r="A108" s="24" t="s">
        <v>644</v>
      </c>
      <c r="B108" s="27"/>
    </row>
    <row r="109" spans="1:7" ht="17.25" customHeight="1" x14ac:dyDescent="0.25">
      <c r="A109" s="21" t="s">
        <v>643</v>
      </c>
      <c r="B109" s="26"/>
      <c r="C109" s="25"/>
      <c r="D109" s="25"/>
      <c r="E109" s="25"/>
      <c r="F109" s="25"/>
      <c r="G109" s="25"/>
    </row>
    <row r="110" spans="1:7" ht="24" customHeight="1" x14ac:dyDescent="0.25">
      <c r="A110" s="24" t="s">
        <v>642</v>
      </c>
      <c r="B110" s="19"/>
    </row>
    <row r="111" spans="1:7" ht="24" customHeight="1" x14ac:dyDescent="0.25">
      <c r="A111" s="24" t="s">
        <v>641</v>
      </c>
      <c r="B111" s="19"/>
    </row>
    <row r="112" spans="1:7" ht="24" customHeight="1" x14ac:dyDescent="0.25">
      <c r="A112" s="24" t="s">
        <v>640</v>
      </c>
      <c r="B112" s="19"/>
    </row>
    <row r="113" spans="1:7" ht="24" customHeight="1" x14ac:dyDescent="0.25">
      <c r="A113" s="24" t="s">
        <v>639</v>
      </c>
      <c r="B113" s="19"/>
    </row>
    <row r="114" spans="1:7" ht="24" customHeight="1" x14ac:dyDescent="0.25">
      <c r="A114" s="23" t="s">
        <v>638</v>
      </c>
      <c r="B114" s="19"/>
      <c r="C114" s="22"/>
      <c r="D114" s="22"/>
      <c r="E114" s="22"/>
      <c r="F114" s="22"/>
      <c r="G114" s="22"/>
    </row>
    <row r="115" spans="1:7" ht="24" customHeight="1" x14ac:dyDescent="0.25">
      <c r="A115" s="21" t="s">
        <v>637</v>
      </c>
      <c r="B115" s="19"/>
    </row>
    <row r="116" spans="1:7" ht="24" customHeight="1" x14ac:dyDescent="0.25">
      <c r="A116" s="21" t="s">
        <v>583</v>
      </c>
      <c r="B116" s="19"/>
    </row>
    <row r="117" spans="1:7" ht="24" customHeight="1" x14ac:dyDescent="0.25">
      <c r="A117" s="21" t="s">
        <v>636</v>
      </c>
      <c r="B117" s="19"/>
    </row>
    <row r="118" spans="1:7" ht="24" customHeight="1" x14ac:dyDescent="0.25">
      <c r="A118" s="21" t="s">
        <v>635</v>
      </c>
      <c r="B118" s="19"/>
    </row>
    <row r="119" spans="1:7" ht="24" customHeight="1" x14ac:dyDescent="0.25">
      <c r="A119" s="21" t="s">
        <v>634</v>
      </c>
      <c r="B119" s="19"/>
    </row>
    <row r="120" spans="1:7" ht="24" customHeight="1" x14ac:dyDescent="0.25">
      <c r="A120" s="21" t="s">
        <v>633</v>
      </c>
      <c r="B120" s="19"/>
    </row>
    <row r="121" spans="1:7" x14ac:dyDescent="0.25">
      <c r="A121" s="20" t="s">
        <v>632</v>
      </c>
      <c r="B121" s="19">
        <v>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C48B-21FC-452F-85B0-330B5A7FF66A}">
  <dimension ref="A2:B9"/>
  <sheetViews>
    <sheetView zoomScale="85" zoomScaleNormal="85" workbookViewId="0">
      <selection activeCell="B5" sqref="B5"/>
    </sheetView>
  </sheetViews>
  <sheetFormatPr defaultRowHeight="15" x14ac:dyDescent="0.25"/>
  <cols>
    <col min="1" max="1" width="27.5703125" customWidth="1"/>
  </cols>
  <sheetData>
    <row r="2" spans="1:2" ht="18.75" x14ac:dyDescent="0.3">
      <c r="A2" s="137" t="s">
        <v>915</v>
      </c>
      <c r="B2" s="136"/>
    </row>
    <row r="3" spans="1:2" ht="18.75" x14ac:dyDescent="0.3">
      <c r="A3" s="139" t="s">
        <v>900</v>
      </c>
      <c r="B3" s="141">
        <v>0.38</v>
      </c>
    </row>
    <row r="4" spans="1:2" ht="18.75" x14ac:dyDescent="0.3">
      <c r="A4" s="139" t="s">
        <v>901</v>
      </c>
      <c r="B4" s="141">
        <v>0.06</v>
      </c>
    </row>
    <row r="5" spans="1:2" ht="18.75" x14ac:dyDescent="0.3">
      <c r="A5" s="139" t="s">
        <v>911</v>
      </c>
      <c r="B5" s="141">
        <v>0.17</v>
      </c>
    </row>
    <row r="6" spans="1:2" ht="18.75" x14ac:dyDescent="0.3">
      <c r="A6" s="139" t="s">
        <v>614</v>
      </c>
      <c r="B6" s="141">
        <v>0.02</v>
      </c>
    </row>
    <row r="7" spans="1:2" ht="18.75" x14ac:dyDescent="0.3">
      <c r="A7" s="139" t="s">
        <v>906</v>
      </c>
      <c r="B7" s="141">
        <v>0.19</v>
      </c>
    </row>
    <row r="8" spans="1:2" ht="18.75" x14ac:dyDescent="0.3">
      <c r="A8" s="139" t="s">
        <v>908</v>
      </c>
      <c r="B8" s="141">
        <v>0.1</v>
      </c>
    </row>
    <row r="9" spans="1:2" ht="18.75" x14ac:dyDescent="0.3">
      <c r="A9" s="139" t="s">
        <v>902</v>
      </c>
      <c r="B9" s="141">
        <v>0.08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A420C-9FBC-4CDA-B92F-939419D294BE}">
  <dimension ref="A1:J43"/>
  <sheetViews>
    <sheetView workbookViewId="0">
      <selection activeCell="B5" sqref="B5"/>
    </sheetView>
  </sheetViews>
  <sheetFormatPr defaultRowHeight="15" x14ac:dyDescent="0.25"/>
  <cols>
    <col min="1" max="1" width="31.5703125" customWidth="1"/>
    <col min="2" max="2" width="15.85546875" bestFit="1" customWidth="1"/>
    <col min="3" max="3" width="14.28515625" bestFit="1" customWidth="1"/>
    <col min="4" max="4" width="13" bestFit="1" customWidth="1"/>
    <col min="5" max="5" width="8.85546875" bestFit="1" customWidth="1"/>
    <col min="6" max="6" width="13.5703125" bestFit="1" customWidth="1"/>
    <col min="7" max="7" width="8.85546875" bestFit="1" customWidth="1"/>
    <col min="9" max="10" width="10.140625" bestFit="1" customWidth="1"/>
  </cols>
  <sheetData>
    <row r="1" spans="1:7" ht="18" x14ac:dyDescent="0.25">
      <c r="A1" s="149" t="s">
        <v>888</v>
      </c>
      <c r="B1" s="13"/>
      <c r="C1" s="13"/>
      <c r="D1" s="13"/>
      <c r="E1" s="13"/>
      <c r="F1" s="13"/>
      <c r="G1" s="13"/>
    </row>
    <row r="2" spans="1:7" ht="18" x14ac:dyDescent="0.25">
      <c r="A2" s="13"/>
      <c r="B2" s="13"/>
      <c r="C2" s="13"/>
      <c r="D2" s="13"/>
      <c r="E2" s="13"/>
      <c r="F2" s="13"/>
      <c r="G2" s="13"/>
    </row>
    <row r="3" spans="1:7" ht="36" x14ac:dyDescent="0.25">
      <c r="A3" s="149" t="s">
        <v>889</v>
      </c>
      <c r="B3" s="150" t="s">
        <v>890</v>
      </c>
      <c r="C3" s="150" t="s">
        <v>891</v>
      </c>
      <c r="D3" s="13" t="s">
        <v>916</v>
      </c>
      <c r="E3" s="13" t="s">
        <v>917</v>
      </c>
      <c r="F3" s="13"/>
      <c r="G3" s="13"/>
    </row>
    <row r="4" spans="1:7" ht="18" x14ac:dyDescent="0.25">
      <c r="A4" s="13"/>
      <c r="B4" s="151"/>
      <c r="C4" s="151"/>
      <c r="D4" s="151"/>
      <c r="E4" s="13"/>
      <c r="F4" s="13"/>
      <c r="G4" s="149" t="s">
        <v>899</v>
      </c>
    </row>
    <row r="5" spans="1:7" ht="18" x14ac:dyDescent="0.25">
      <c r="A5" s="13" t="s">
        <v>892</v>
      </c>
      <c r="B5" s="151">
        <v>107303000</v>
      </c>
      <c r="C5" s="151">
        <v>115593000</v>
      </c>
      <c r="D5" s="151">
        <f t="shared" ref="D5:D10" si="0">+C5-B5</f>
        <v>8290000</v>
      </c>
      <c r="E5" s="152">
        <f t="shared" ref="E5:E10" si="1">+D5/B5</f>
        <v>7.7257858587364753E-2</v>
      </c>
      <c r="F5" s="13"/>
      <c r="G5" s="152">
        <f>+C5/C19</f>
        <v>0.61023270173239508</v>
      </c>
    </row>
    <row r="6" spans="1:7" ht="18" x14ac:dyDescent="0.25">
      <c r="A6" s="13" t="s">
        <v>893</v>
      </c>
      <c r="B6" s="151">
        <v>8000000</v>
      </c>
      <c r="C6" s="151">
        <v>8000000</v>
      </c>
      <c r="D6" s="151">
        <f t="shared" si="0"/>
        <v>0</v>
      </c>
      <c r="E6" s="152">
        <f t="shared" si="1"/>
        <v>0</v>
      </c>
      <c r="F6" s="13"/>
      <c r="G6" s="152"/>
    </row>
    <row r="7" spans="1:7" ht="18" x14ac:dyDescent="0.25">
      <c r="A7" s="13" t="s">
        <v>894</v>
      </c>
      <c r="B7" s="151">
        <v>2405000</v>
      </c>
      <c r="C7" s="151">
        <v>2548000</v>
      </c>
      <c r="D7" s="151">
        <f t="shared" si="0"/>
        <v>143000</v>
      </c>
      <c r="E7" s="152">
        <f t="shared" si="1"/>
        <v>5.9459459459459463E-2</v>
      </c>
      <c r="F7" s="13"/>
      <c r="G7" s="152"/>
    </row>
    <row r="8" spans="1:7" ht="18" x14ac:dyDescent="0.25">
      <c r="A8" s="13" t="s">
        <v>895</v>
      </c>
      <c r="B8" s="151">
        <v>1320000</v>
      </c>
      <c r="C8" s="151">
        <v>1785000</v>
      </c>
      <c r="D8" s="151">
        <f t="shared" si="0"/>
        <v>465000</v>
      </c>
      <c r="E8" s="152">
        <f t="shared" si="1"/>
        <v>0.35227272727272729</v>
      </c>
      <c r="F8" s="13"/>
      <c r="G8" s="152"/>
    </row>
    <row r="9" spans="1:7" ht="18" x14ac:dyDescent="0.25">
      <c r="A9" s="13" t="s">
        <v>896</v>
      </c>
      <c r="B9" s="151">
        <v>1180000</v>
      </c>
      <c r="C9" s="151">
        <v>1696000</v>
      </c>
      <c r="D9" s="151">
        <f t="shared" si="0"/>
        <v>516000</v>
      </c>
      <c r="E9" s="152">
        <f t="shared" si="1"/>
        <v>0.43728813559322033</v>
      </c>
      <c r="F9" s="13"/>
      <c r="G9" s="152"/>
    </row>
    <row r="10" spans="1:7" ht="18.75" thickBot="1" x14ac:dyDescent="0.3">
      <c r="A10" s="149" t="s">
        <v>897</v>
      </c>
      <c r="B10" s="153">
        <f>SUM(B5:B9)</f>
        <v>120208000</v>
      </c>
      <c r="C10" s="153">
        <f>SUM(C5:C9)</f>
        <v>129622000</v>
      </c>
      <c r="D10" s="153">
        <f t="shared" si="0"/>
        <v>9414000</v>
      </c>
      <c r="E10" s="154">
        <f t="shared" si="1"/>
        <v>7.8314255290829235E-2</v>
      </c>
      <c r="F10" s="13"/>
      <c r="G10" s="152">
        <f>+C10/C19</f>
        <v>0.68429388686128501</v>
      </c>
    </row>
    <row r="11" spans="1:7" ht="18" x14ac:dyDescent="0.25">
      <c r="A11" s="149"/>
      <c r="B11" s="155"/>
      <c r="C11" s="155"/>
      <c r="D11" s="155"/>
      <c r="E11" s="156"/>
      <c r="F11" s="13"/>
      <c r="G11" s="152"/>
    </row>
    <row r="12" spans="1:7" ht="18" x14ac:dyDescent="0.25">
      <c r="A12" s="13" t="s">
        <v>906</v>
      </c>
      <c r="B12" s="151">
        <v>33766666</v>
      </c>
      <c r="C12" s="151">
        <v>36029033</v>
      </c>
      <c r="D12" s="151">
        <f>+C12-B12</f>
        <v>2262367</v>
      </c>
      <c r="E12" s="152">
        <f t="shared" ref="E12:E17" si="2">+D12/B12</f>
        <v>6.7000011194472089E-2</v>
      </c>
      <c r="F12" s="13"/>
      <c r="G12" s="152">
        <f>+C12/C19</f>
        <v>0.19020264331227341</v>
      </c>
    </row>
    <row r="13" spans="1:7" ht="18" x14ac:dyDescent="0.25">
      <c r="A13" s="13" t="s">
        <v>907</v>
      </c>
      <c r="B13" s="151">
        <v>274400</v>
      </c>
      <c r="C13" s="151">
        <f>+B13</f>
        <v>274400</v>
      </c>
      <c r="D13" s="151">
        <f>+C13-B13</f>
        <v>0</v>
      </c>
      <c r="E13" s="152">
        <f t="shared" si="2"/>
        <v>0</v>
      </c>
      <c r="F13" s="13"/>
      <c r="G13" s="152"/>
    </row>
    <row r="14" spans="1:7" ht="18" x14ac:dyDescent="0.25">
      <c r="A14" s="13" t="s">
        <v>908</v>
      </c>
      <c r="B14" s="151">
        <v>18018091</v>
      </c>
      <c r="C14" s="151">
        <v>19225303</v>
      </c>
      <c r="D14" s="151">
        <f>+C14-B14</f>
        <v>1207212</v>
      </c>
      <c r="E14" s="152">
        <f t="shared" si="2"/>
        <v>6.6999994616521799E-2</v>
      </c>
      <c r="F14" s="13"/>
      <c r="G14" s="152">
        <f>+C14/C19</f>
        <v>0.10149324432546884</v>
      </c>
    </row>
    <row r="15" spans="1:7" ht="18" x14ac:dyDescent="0.25">
      <c r="A15" s="13" t="s">
        <v>909</v>
      </c>
      <c r="B15" s="151">
        <v>989901</v>
      </c>
      <c r="C15" s="151">
        <v>1056224</v>
      </c>
      <c r="D15" s="151">
        <f>+C15-B15</f>
        <v>66323</v>
      </c>
      <c r="E15" s="152">
        <f t="shared" si="2"/>
        <v>6.6999629255854884E-2</v>
      </c>
      <c r="F15" s="13"/>
      <c r="G15" s="152"/>
    </row>
    <row r="16" spans="1:7" ht="18" x14ac:dyDescent="0.25">
      <c r="A16" s="13" t="s">
        <v>638</v>
      </c>
      <c r="B16" s="151">
        <f>2537461+2000</f>
        <v>2539461</v>
      </c>
      <c r="C16" s="151">
        <f>9500+3208400</f>
        <v>3217900</v>
      </c>
      <c r="D16" s="151">
        <f>+C16-B16</f>
        <v>678439</v>
      </c>
      <c r="E16" s="152">
        <f t="shared" si="2"/>
        <v>0.26715866083393286</v>
      </c>
      <c r="F16" s="13"/>
      <c r="G16" s="152"/>
    </row>
    <row r="17" spans="1:10" ht="18" x14ac:dyDescent="0.25">
      <c r="A17" s="13"/>
      <c r="B17" s="157">
        <f>SUM(B12:B16)</f>
        <v>55588519</v>
      </c>
      <c r="C17" s="157">
        <f>SUM(C12:C16)</f>
        <v>59802860</v>
      </c>
      <c r="D17" s="157">
        <f>SUM(D12:D16)</f>
        <v>4214341</v>
      </c>
      <c r="E17" s="158">
        <f t="shared" si="2"/>
        <v>7.5813154871062494E-2</v>
      </c>
      <c r="F17" s="13"/>
      <c r="G17" s="152">
        <f>+C17/C19</f>
        <v>0.31570822479842359</v>
      </c>
    </row>
    <row r="18" spans="1:10" ht="18.75" thickBot="1" x14ac:dyDescent="0.3">
      <c r="A18" s="13"/>
      <c r="B18" s="159">
        <v>18000</v>
      </c>
      <c r="C18" s="159">
        <v>-400</v>
      </c>
      <c r="D18" s="155"/>
      <c r="E18" s="156"/>
      <c r="F18" s="13"/>
      <c r="G18" s="152"/>
    </row>
    <row r="19" spans="1:10" ht="18.75" thickBot="1" x14ac:dyDescent="0.3">
      <c r="A19" s="149" t="s">
        <v>910</v>
      </c>
      <c r="B19" s="160">
        <f>+B10+B17+B18</f>
        <v>175814519</v>
      </c>
      <c r="C19" s="161">
        <f>+C10+C17+C18</f>
        <v>189424460</v>
      </c>
      <c r="D19" s="161">
        <f>+C19-B19</f>
        <v>13609941</v>
      </c>
      <c r="E19" s="162">
        <f>+D19/B19</f>
        <v>7.741079108489328E-2</v>
      </c>
      <c r="F19" s="13"/>
      <c r="G19" s="152"/>
    </row>
    <row r="20" spans="1:10" ht="18" x14ac:dyDescent="0.25">
      <c r="A20" s="149"/>
      <c r="B20" s="147"/>
      <c r="C20" s="147"/>
      <c r="D20" s="163"/>
      <c r="E20" s="164"/>
      <c r="F20" s="13"/>
      <c r="G20" s="13"/>
    </row>
    <row r="21" spans="1:10" ht="18" x14ac:dyDescent="0.25">
      <c r="A21" s="13"/>
      <c r="B21" s="151"/>
      <c r="C21" s="151"/>
      <c r="D21" s="151"/>
      <c r="E21" s="152"/>
      <c r="F21" s="151"/>
      <c r="G21" s="13"/>
    </row>
    <row r="22" spans="1:10" ht="18" x14ac:dyDescent="0.25">
      <c r="A22" s="149" t="s">
        <v>898</v>
      </c>
      <c r="B22" s="151"/>
      <c r="C22" s="151"/>
      <c r="D22" s="151"/>
      <c r="E22" s="152"/>
      <c r="F22" s="13"/>
      <c r="G22" s="13"/>
    </row>
    <row r="23" spans="1:10" ht="18" x14ac:dyDescent="0.25">
      <c r="A23" s="149" t="s">
        <v>547</v>
      </c>
      <c r="B23" s="151"/>
      <c r="C23" s="151"/>
      <c r="D23" s="151"/>
      <c r="E23" s="152"/>
      <c r="F23" s="13"/>
      <c r="G23" s="149" t="s">
        <v>899</v>
      </c>
    </row>
    <row r="24" spans="1:10" ht="18" x14ac:dyDescent="0.25">
      <c r="A24" s="13" t="s">
        <v>900</v>
      </c>
      <c r="B24" s="151">
        <v>63543193</v>
      </c>
      <c r="C24" s="151" t="e">
        <f>+#REF!</f>
        <v>#REF!</v>
      </c>
      <c r="D24" s="151" t="e">
        <f t="shared" ref="D24:D31" si="3">+C24-B24</f>
        <v>#REF!</v>
      </c>
      <c r="E24" s="152" t="e">
        <f t="shared" ref="E24:E31" si="4">+D24/B24</f>
        <v>#REF!</v>
      </c>
      <c r="F24" s="13"/>
      <c r="G24" s="165" t="e">
        <f>+C24/C31</f>
        <v>#REF!</v>
      </c>
    </row>
    <row r="25" spans="1:10" ht="18" x14ac:dyDescent="0.25">
      <c r="A25" s="13" t="s">
        <v>901</v>
      </c>
      <c r="B25" s="151">
        <v>10570090</v>
      </c>
      <c r="C25" s="151" t="e">
        <f>+#REF!</f>
        <v>#REF!</v>
      </c>
      <c r="D25" s="151" t="e">
        <f t="shared" si="3"/>
        <v>#REF!</v>
      </c>
      <c r="E25" s="152" t="e">
        <f t="shared" si="4"/>
        <v>#REF!</v>
      </c>
      <c r="F25" s="13"/>
      <c r="G25" s="165" t="e">
        <f>+C25/C31</f>
        <v>#REF!</v>
      </c>
    </row>
    <row r="26" spans="1:10" ht="18" x14ac:dyDescent="0.25">
      <c r="A26" s="13" t="s">
        <v>911</v>
      </c>
      <c r="B26" s="151">
        <v>33183195</v>
      </c>
      <c r="C26" s="151">
        <v>31720778</v>
      </c>
      <c r="D26" s="151">
        <f t="shared" si="3"/>
        <v>-1462417</v>
      </c>
      <c r="E26" s="152">
        <f>+D26/B26</f>
        <v>-4.4071012450729953E-2</v>
      </c>
      <c r="F26" s="13"/>
      <c r="G26" s="165" t="e">
        <f>+C26/C31</f>
        <v>#REF!</v>
      </c>
      <c r="I26" s="145"/>
      <c r="J26" s="145"/>
    </row>
    <row r="27" spans="1:10" ht="18" x14ac:dyDescent="0.25">
      <c r="A27" s="13" t="s">
        <v>614</v>
      </c>
      <c r="B27" s="151" t="e">
        <f>+#REF!</f>
        <v>#REF!</v>
      </c>
      <c r="C27" s="151" t="e">
        <f>+#REF!</f>
        <v>#REF!</v>
      </c>
      <c r="D27" s="151" t="e">
        <f t="shared" si="3"/>
        <v>#REF!</v>
      </c>
      <c r="E27" s="152" t="e">
        <f>+D27/B27</f>
        <v>#REF!</v>
      </c>
      <c r="F27" s="13"/>
      <c r="G27" s="165" t="e">
        <f>+C27/C31</f>
        <v>#REF!</v>
      </c>
      <c r="I27" s="146"/>
      <c r="J27" s="146"/>
    </row>
    <row r="28" spans="1:10" ht="18" x14ac:dyDescent="0.25">
      <c r="A28" s="13" t="s">
        <v>906</v>
      </c>
      <c r="B28" s="151" t="e">
        <f>'Office of the MM'!#REF!</f>
        <v>#REF!</v>
      </c>
      <c r="C28" s="151" t="e">
        <f>+#REF!</f>
        <v>#REF!</v>
      </c>
      <c r="D28" s="151" t="e">
        <f t="shared" si="3"/>
        <v>#REF!</v>
      </c>
      <c r="E28" s="152" t="e">
        <f>+D28/B28</f>
        <v>#REF!</v>
      </c>
      <c r="F28" s="13"/>
      <c r="G28" s="165" t="e">
        <f>+C28/C31</f>
        <v>#REF!</v>
      </c>
      <c r="I28" s="1"/>
      <c r="J28" s="1"/>
    </row>
    <row r="29" spans="1:10" ht="18" x14ac:dyDescent="0.25">
      <c r="A29" s="13" t="s">
        <v>908</v>
      </c>
      <c r="B29" s="151" t="e">
        <f>+#REF!</f>
        <v>#REF!</v>
      </c>
      <c r="C29" s="151" t="e">
        <f>+#REF!</f>
        <v>#REF!</v>
      </c>
      <c r="D29" s="151" t="e">
        <f t="shared" si="3"/>
        <v>#REF!</v>
      </c>
      <c r="E29" s="152" t="e">
        <f>+D29/B29</f>
        <v>#REF!</v>
      </c>
      <c r="F29" s="13"/>
      <c r="G29" s="165" t="e">
        <f>+C29/C31</f>
        <v>#REF!</v>
      </c>
      <c r="I29" s="1"/>
      <c r="J29" s="1"/>
    </row>
    <row r="30" spans="1:10" ht="18" x14ac:dyDescent="0.25">
      <c r="A30" s="13" t="s">
        <v>902</v>
      </c>
      <c r="B30" s="151">
        <f>+B6+B7+B8+B9</f>
        <v>12905000</v>
      </c>
      <c r="C30" s="151">
        <f>+C6+C7+C8+C9</f>
        <v>14029000</v>
      </c>
      <c r="D30" s="151">
        <f t="shared" si="3"/>
        <v>1124000</v>
      </c>
      <c r="E30" s="152">
        <f t="shared" si="4"/>
        <v>8.7098024021697015E-2</v>
      </c>
      <c r="F30" s="13"/>
      <c r="G30" s="165" t="e">
        <f>+C30/C31</f>
        <v>#REF!</v>
      </c>
      <c r="I30" s="1"/>
      <c r="J30" s="1"/>
    </row>
    <row r="31" spans="1:10" ht="18.75" thickBot="1" x14ac:dyDescent="0.3">
      <c r="A31" s="149" t="s">
        <v>912</v>
      </c>
      <c r="B31" s="153" t="e">
        <f>SUM(B24:B30)</f>
        <v>#REF!</v>
      </c>
      <c r="C31" s="153" t="e">
        <f>SUM(C24:C30)</f>
        <v>#REF!</v>
      </c>
      <c r="D31" s="153" t="e">
        <f t="shared" si="3"/>
        <v>#REF!</v>
      </c>
      <c r="E31" s="156" t="e">
        <f t="shared" si="4"/>
        <v>#REF!</v>
      </c>
      <c r="F31" s="13"/>
      <c r="G31" s="166" t="e">
        <f>SUM(G24:G30)</f>
        <v>#REF!</v>
      </c>
      <c r="I31" s="1"/>
      <c r="J31" s="1"/>
    </row>
    <row r="32" spans="1:10" ht="18" x14ac:dyDescent="0.25">
      <c r="A32" s="13"/>
      <c r="B32" s="167"/>
      <c r="C32" s="167"/>
      <c r="D32" s="151"/>
      <c r="E32" s="152"/>
      <c r="F32" s="13"/>
      <c r="G32" s="165"/>
    </row>
    <row r="33" spans="1:10" ht="18" x14ac:dyDescent="0.25">
      <c r="A33" s="13"/>
      <c r="B33" s="167"/>
      <c r="C33" s="151"/>
      <c r="D33" s="151"/>
      <c r="E33" s="152"/>
      <c r="F33" s="13"/>
      <c r="G33" s="13"/>
    </row>
    <row r="34" spans="1:10" ht="18" x14ac:dyDescent="0.25">
      <c r="A34" s="149" t="s">
        <v>913</v>
      </c>
      <c r="B34" s="155" t="e">
        <f>+#REF!</f>
        <v>#REF!</v>
      </c>
      <c r="C34" s="155" t="e">
        <f>+#REF!</f>
        <v>#REF!</v>
      </c>
      <c r="D34" s="155" t="e">
        <f>+C34-B34</f>
        <v>#REF!</v>
      </c>
      <c r="E34" s="156" t="e">
        <f>+D34/B34</f>
        <v>#REF!</v>
      </c>
      <c r="F34" s="13"/>
      <c r="G34" s="13"/>
    </row>
    <row r="35" spans="1:10" ht="18" x14ac:dyDescent="0.25">
      <c r="A35" s="149"/>
      <c r="B35" s="151"/>
      <c r="C35" s="151"/>
      <c r="D35" s="151"/>
      <c r="E35" s="152"/>
      <c r="F35" s="13"/>
      <c r="G35" s="13"/>
    </row>
    <row r="36" spans="1:10" ht="18" x14ac:dyDescent="0.25">
      <c r="A36" s="149" t="s">
        <v>914</v>
      </c>
      <c r="B36" s="155" t="e">
        <f>+B31+B34</f>
        <v>#REF!</v>
      </c>
      <c r="C36" s="155" t="e">
        <f>+C31+C34</f>
        <v>#REF!</v>
      </c>
      <c r="D36" s="155" t="e">
        <f>+C36-B36</f>
        <v>#REF!</v>
      </c>
      <c r="E36" s="156" t="e">
        <f>+D36/B36</f>
        <v>#REF!</v>
      </c>
      <c r="F36" s="13"/>
      <c r="G36" s="13"/>
    </row>
    <row r="37" spans="1:10" ht="18" x14ac:dyDescent="0.25">
      <c r="A37" s="13"/>
      <c r="B37" s="167"/>
      <c r="C37" s="151"/>
      <c r="D37" s="151"/>
      <c r="E37" s="152"/>
      <c r="F37" s="13"/>
      <c r="G37" s="13"/>
      <c r="J37" s="148"/>
    </row>
    <row r="38" spans="1:10" ht="18" x14ac:dyDescent="0.25">
      <c r="A38" s="13" t="s">
        <v>903</v>
      </c>
      <c r="B38" s="155" t="e">
        <f>+B19-B36</f>
        <v>#REF!</v>
      </c>
      <c r="C38" s="155" t="e">
        <f>+C19-C36</f>
        <v>#REF!</v>
      </c>
      <c r="D38" s="155" t="e">
        <f>+D19-D36</f>
        <v>#REF!</v>
      </c>
      <c r="E38" s="152"/>
      <c r="F38" s="13"/>
      <c r="G38" s="156"/>
    </row>
    <row r="39" spans="1:10" ht="18.75" x14ac:dyDescent="0.3">
      <c r="A39" s="139"/>
      <c r="B39" s="140"/>
      <c r="C39" s="140"/>
      <c r="D39" s="140"/>
      <c r="E39" s="141"/>
      <c r="F39" s="136"/>
      <c r="G39" s="136"/>
    </row>
    <row r="40" spans="1:10" ht="18.75" hidden="1" x14ac:dyDescent="0.3">
      <c r="A40" s="143" t="s">
        <v>904</v>
      </c>
      <c r="B40" s="142"/>
      <c r="C40" s="142">
        <v>-45971403</v>
      </c>
      <c r="D40" s="140"/>
      <c r="E40" s="141"/>
      <c r="F40" s="136"/>
      <c r="G40" s="136"/>
    </row>
    <row r="41" spans="1:10" ht="19.5" hidden="1" thickBot="1" x14ac:dyDescent="0.35">
      <c r="A41" s="139"/>
      <c r="B41" s="140"/>
      <c r="C41" s="140"/>
      <c r="D41" s="140"/>
      <c r="E41" s="141"/>
      <c r="F41" s="136"/>
      <c r="G41" s="136"/>
    </row>
    <row r="42" spans="1:10" ht="19.5" hidden="1" thickBot="1" x14ac:dyDescent="0.35">
      <c r="A42" s="138" t="s">
        <v>905</v>
      </c>
      <c r="B42" s="140"/>
      <c r="C42" s="144" t="e">
        <f>+C38+C40</f>
        <v>#REF!</v>
      </c>
      <c r="D42" s="140"/>
      <c r="E42" s="141"/>
      <c r="F42" s="136"/>
      <c r="G42" s="136"/>
    </row>
    <row r="43" spans="1:10" ht="18.75" x14ac:dyDescent="0.3">
      <c r="A43" s="139"/>
      <c r="B43" s="140"/>
      <c r="C43" s="140"/>
      <c r="D43" s="140"/>
      <c r="E43" s="141"/>
      <c r="F43" s="136"/>
      <c r="G43" s="136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7129-AD22-426C-BA3B-04C652A812C8}">
  <sheetPr>
    <pageSetUpPr fitToPage="1"/>
  </sheetPr>
  <dimension ref="A1:Q37"/>
  <sheetViews>
    <sheetView topLeftCell="A4" workbookViewId="0">
      <pane xSplit="1" topLeftCell="B1" activePane="topRight" state="frozen"/>
      <selection activeCell="Y9" activeCellId="2" sqref="O300:P300 A297 Y9"/>
      <selection pane="topRight" activeCell="D8" sqref="D8"/>
    </sheetView>
  </sheetViews>
  <sheetFormatPr defaultRowHeight="15" x14ac:dyDescent="0.25"/>
  <cols>
    <col min="1" max="1" width="31" customWidth="1"/>
    <col min="2" max="2" width="16.5703125" customWidth="1"/>
    <col min="3" max="3" width="15.28515625" customWidth="1"/>
    <col min="4" max="4" width="13.5703125" customWidth="1"/>
    <col min="5" max="5" width="14.85546875" customWidth="1"/>
    <col min="6" max="6" width="17.5703125" customWidth="1"/>
    <col min="7" max="7" width="12.85546875" customWidth="1"/>
    <col min="8" max="8" width="12.5703125" customWidth="1"/>
    <col min="9" max="9" width="17.42578125" customWidth="1"/>
    <col min="10" max="10" width="18.28515625" customWidth="1"/>
    <col min="11" max="11" width="9.140625" customWidth="1"/>
    <col min="12" max="12" width="15.85546875" style="181" customWidth="1"/>
    <col min="13" max="13" width="14.28515625" customWidth="1"/>
    <col min="14" max="14" width="11.28515625" customWidth="1"/>
    <col min="15" max="15" width="9.140625" customWidth="1"/>
  </cols>
  <sheetData>
    <row r="1" spans="1:17" ht="60" x14ac:dyDescent="0.25">
      <c r="A1" s="196" t="s">
        <v>609</v>
      </c>
      <c r="B1" s="197" t="s">
        <v>625</v>
      </c>
      <c r="C1" s="197" t="s">
        <v>610</v>
      </c>
      <c r="D1" s="197" t="s">
        <v>611</v>
      </c>
      <c r="E1" s="198" t="s">
        <v>612</v>
      </c>
      <c r="F1" s="199" t="s">
        <v>613</v>
      </c>
      <c r="G1" s="198" t="s">
        <v>614</v>
      </c>
      <c r="H1" s="198" t="s">
        <v>615</v>
      </c>
      <c r="I1" s="199" t="s">
        <v>616</v>
      </c>
      <c r="J1" s="200"/>
    </row>
    <row r="2" spans="1:17" x14ac:dyDescent="0.25">
      <c r="A2" s="2" t="s">
        <v>485</v>
      </c>
      <c r="B2" s="3">
        <f>Speaker!K29</f>
        <v>5470734</v>
      </c>
      <c r="C2" s="201">
        <f>Speaker!K59</f>
        <v>1212300.6679999998</v>
      </c>
      <c r="D2" s="3"/>
      <c r="E2" s="4"/>
      <c r="F2" s="5"/>
      <c r="G2" s="3">
        <f>Speaker!K38</f>
        <v>620432.48504000006</v>
      </c>
      <c r="H2" s="3"/>
      <c r="I2" s="3">
        <f t="shared" ref="I2:I13" si="0">SUM(B2:H2)</f>
        <v>7303467.1530399993</v>
      </c>
      <c r="J2" s="186">
        <f>SUM(I2-F2)</f>
        <v>7303467.1530399993</v>
      </c>
      <c r="M2" s="181"/>
      <c r="N2" s="181"/>
      <c r="O2" s="181"/>
      <c r="P2" s="181"/>
      <c r="Q2" s="181"/>
    </row>
    <row r="3" spans="1:17" x14ac:dyDescent="0.25">
      <c r="A3" s="14" t="s">
        <v>486</v>
      </c>
      <c r="B3" s="3">
        <f>'Chief Whip'!K24</f>
        <v>602986.46979820938</v>
      </c>
      <c r="C3" s="201">
        <f>'Chief Whip'!K39</f>
        <v>26432.952697982095</v>
      </c>
      <c r="D3" s="3"/>
      <c r="E3" s="4"/>
      <c r="F3" s="5"/>
      <c r="G3" s="3">
        <f>'Chief Whip'!K29</f>
        <v>11882.695599999999</v>
      </c>
      <c r="H3" s="3"/>
      <c r="I3" s="3">
        <f t="shared" si="0"/>
        <v>641302.11809619144</v>
      </c>
      <c r="J3" s="186">
        <f t="shared" ref="J3:J13" si="1">SUM(I3-F3)</f>
        <v>641302.11809619144</v>
      </c>
      <c r="M3" s="181"/>
      <c r="N3" s="168"/>
    </row>
    <row r="4" spans="1:17" x14ac:dyDescent="0.25">
      <c r="A4" s="2" t="s">
        <v>488</v>
      </c>
      <c r="B4" s="3">
        <f>'Executive Mayor'!L30</f>
        <v>7237561</v>
      </c>
      <c r="C4" s="201">
        <f>'Executive Mayor'!L93</f>
        <v>5386384.2180000003</v>
      </c>
      <c r="D4" s="3"/>
      <c r="E4" s="4"/>
      <c r="F4" s="5">
        <f>'Executive Mayor'!L100</f>
        <v>0</v>
      </c>
      <c r="G4" s="3">
        <f>'Executive Mayor'!L38</f>
        <v>1046482.26544</v>
      </c>
      <c r="H4" s="3"/>
      <c r="I4" s="3">
        <f t="shared" si="0"/>
        <v>13670427.483440001</v>
      </c>
      <c r="J4" s="186">
        <f t="shared" si="1"/>
        <v>13670427.483440001</v>
      </c>
      <c r="M4" s="181"/>
      <c r="N4" s="168"/>
    </row>
    <row r="5" spans="1:17" x14ac:dyDescent="0.25">
      <c r="A5" s="2" t="s">
        <v>617</v>
      </c>
      <c r="B5" s="3">
        <f>'MAYCO &amp; COUNCIL'!L23</f>
        <v>9110476.5199999996</v>
      </c>
      <c r="C5" s="201">
        <f>'MAYCO &amp; COUNCIL'!L43</f>
        <v>1020750.0292</v>
      </c>
      <c r="D5" s="3"/>
      <c r="E5" s="4"/>
      <c r="F5" s="3"/>
      <c r="G5" s="3">
        <f>'MAYCO &amp; COUNCIL'!L30</f>
        <v>16965.024000000001</v>
      </c>
      <c r="H5" s="3"/>
      <c r="I5" s="3">
        <f t="shared" si="0"/>
        <v>10148191.5732</v>
      </c>
      <c r="J5" s="186">
        <f t="shared" si="1"/>
        <v>10148191.5732</v>
      </c>
      <c r="M5" s="181"/>
      <c r="N5" s="168"/>
    </row>
    <row r="6" spans="1:17" x14ac:dyDescent="0.25">
      <c r="A6" s="2" t="s">
        <v>618</v>
      </c>
      <c r="B6" s="3">
        <f>'Office of the MM'!L28</f>
        <v>17041537.788720001</v>
      </c>
      <c r="C6" s="201">
        <f>'Office of the MM'!L64</f>
        <v>8372298.0418871995</v>
      </c>
      <c r="D6" s="3"/>
      <c r="E6" s="4">
        <f>'[1]Finance (2)'!J37</f>
        <v>0</v>
      </c>
      <c r="F6" s="3">
        <f>'Office of the MM'!L73</f>
        <v>800000</v>
      </c>
      <c r="G6" s="3">
        <f>'Office of the MM'!L35</f>
        <v>409591.93599999999</v>
      </c>
      <c r="H6" s="3"/>
      <c r="I6" s="3">
        <f t="shared" si="0"/>
        <v>26623427.766607199</v>
      </c>
      <c r="J6" s="186">
        <f t="shared" si="1"/>
        <v>25823427.766607199</v>
      </c>
      <c r="M6" s="181"/>
      <c r="N6" s="168"/>
    </row>
    <row r="7" spans="1:17" x14ac:dyDescent="0.25">
      <c r="A7" s="2" t="s">
        <v>619</v>
      </c>
      <c r="B7" s="3">
        <f>Finance!L34</f>
        <v>11897720.692720002</v>
      </c>
      <c r="C7" s="201">
        <f>Finance!L57</f>
        <v>9146533.9443050418</v>
      </c>
      <c r="D7" s="3"/>
      <c r="E7" s="4">
        <f>[2]Finance!K34</f>
        <v>0</v>
      </c>
      <c r="F7" s="3">
        <f>Finance!L63</f>
        <v>60000</v>
      </c>
      <c r="G7" s="3">
        <f>Finance!L40</f>
        <v>189897.60000000001</v>
      </c>
      <c r="H7" s="3"/>
      <c r="I7" s="3">
        <f t="shared" si="0"/>
        <v>21294152.237025045</v>
      </c>
      <c r="J7" s="186">
        <f t="shared" si="1"/>
        <v>21234152.237025045</v>
      </c>
      <c r="M7" s="181"/>
      <c r="N7" s="168"/>
    </row>
    <row r="8" spans="1:17" ht="15.75" customHeight="1" x14ac:dyDescent="0.25">
      <c r="A8" s="6" t="s">
        <v>620</v>
      </c>
      <c r="B8" s="3">
        <f>IDP!L27</f>
        <v>2615115.1425600001</v>
      </c>
      <c r="C8" s="201">
        <f>IDP!L49</f>
        <v>232086.76902559999</v>
      </c>
      <c r="D8" s="3"/>
      <c r="E8" s="4"/>
      <c r="F8" s="3">
        <v>0</v>
      </c>
      <c r="G8" s="3">
        <f>IDP!L34</f>
        <v>10614.070640000002</v>
      </c>
      <c r="H8" s="3"/>
      <c r="I8" s="3">
        <f t="shared" si="0"/>
        <v>2857815.9822256002</v>
      </c>
      <c r="J8" s="186">
        <f t="shared" si="1"/>
        <v>2857815.9822256002</v>
      </c>
      <c r="M8" s="181"/>
      <c r="N8" s="168"/>
    </row>
    <row r="9" spans="1:17" x14ac:dyDescent="0.25">
      <c r="A9" s="2" t="s">
        <v>490</v>
      </c>
      <c r="B9" s="3">
        <f>LED!L27</f>
        <v>3749382.5759999999</v>
      </c>
      <c r="C9" s="201">
        <f>LED!L58</f>
        <v>686239.64176000003</v>
      </c>
      <c r="D9" s="3"/>
      <c r="E9" s="4"/>
      <c r="F9" s="3">
        <v>0</v>
      </c>
      <c r="G9" s="3">
        <f>LED!L35</f>
        <v>24091.937520000003</v>
      </c>
      <c r="H9" s="3"/>
      <c r="I9" s="3">
        <f t="shared" si="0"/>
        <v>4459714.1552800005</v>
      </c>
      <c r="J9" s="186">
        <f t="shared" si="1"/>
        <v>4459714.1552800005</v>
      </c>
      <c r="M9" s="181"/>
      <c r="N9" s="168"/>
    </row>
    <row r="10" spans="1:17" x14ac:dyDescent="0.25">
      <c r="A10" s="2" t="s">
        <v>621</v>
      </c>
      <c r="B10" s="3">
        <f>'Corporate Services'!L28</f>
        <v>16479376.831999999</v>
      </c>
      <c r="C10" s="201">
        <f>'Corporate Services'!L75</f>
        <v>13857541.616319999</v>
      </c>
      <c r="D10" s="3">
        <v>0</v>
      </c>
      <c r="E10" s="4"/>
      <c r="F10" s="3">
        <f>'Corporate Services'!L87</f>
        <v>2300000</v>
      </c>
      <c r="G10" s="3">
        <f>'Corporate Services'!L39</f>
        <v>1408403.3789919999</v>
      </c>
      <c r="H10" s="3"/>
      <c r="I10" s="3">
        <f t="shared" si="0"/>
        <v>34045321.827312</v>
      </c>
      <c r="J10" s="186">
        <f t="shared" si="1"/>
        <v>31745321.827312</v>
      </c>
      <c r="M10" s="181"/>
      <c r="N10" s="168"/>
    </row>
    <row r="11" spans="1:17" x14ac:dyDescent="0.25">
      <c r="A11" s="2" t="s">
        <v>622</v>
      </c>
      <c r="B11" s="3">
        <f>Infrastructure!N26</f>
        <v>9723293.5559999999</v>
      </c>
      <c r="C11" s="201">
        <f>Infrastructure!N67</f>
        <v>16455295.710559998</v>
      </c>
      <c r="D11" s="3"/>
      <c r="E11" s="4"/>
      <c r="F11" s="3">
        <f>Infrastructure!N79</f>
        <v>392000</v>
      </c>
      <c r="G11" s="3">
        <f>Infrastructure!N32</f>
        <v>16382.807600000002</v>
      </c>
      <c r="H11" s="3"/>
      <c r="I11" s="3">
        <f t="shared" si="0"/>
        <v>26586972.074159995</v>
      </c>
      <c r="J11" s="186">
        <f t="shared" si="1"/>
        <v>26194972.074159995</v>
      </c>
      <c r="M11" s="181"/>
      <c r="N11" s="168"/>
    </row>
    <row r="12" spans="1:17" x14ac:dyDescent="0.25">
      <c r="A12" s="2" t="s">
        <v>308</v>
      </c>
      <c r="B12" s="3">
        <f>'Community Services'!M30</f>
        <v>24826493.584880002</v>
      </c>
      <c r="C12" s="201">
        <f>'Community Services'!M108</f>
        <v>1574464.7838488</v>
      </c>
      <c r="D12" s="3">
        <f>'[1]Community Services'!J32</f>
        <v>0</v>
      </c>
      <c r="E12" s="4"/>
      <c r="F12" s="3">
        <f>'Community Services'!M117</f>
        <v>450000</v>
      </c>
      <c r="G12" s="3">
        <f>'Community Services'!M39</f>
        <v>363574.15120000002</v>
      </c>
      <c r="H12" s="3"/>
      <c r="I12" s="3">
        <f t="shared" si="0"/>
        <v>27214532.519928802</v>
      </c>
      <c r="J12" s="186">
        <f t="shared" si="1"/>
        <v>26764532.519928802</v>
      </c>
      <c r="M12" s="181"/>
      <c r="N12" s="168"/>
    </row>
    <row r="13" spans="1:17" ht="15.75" customHeight="1" x14ac:dyDescent="0.25">
      <c r="A13" s="7" t="s">
        <v>623</v>
      </c>
      <c r="B13" s="8">
        <f>Agriculture!L29</f>
        <v>2794912.5790399997</v>
      </c>
      <c r="C13" s="202">
        <f>Agriculture!L52</f>
        <v>804810.95779040002</v>
      </c>
      <c r="D13" s="8"/>
      <c r="E13" s="9"/>
      <c r="F13" s="8">
        <v>0</v>
      </c>
      <c r="G13" s="8">
        <f>Agriculture!L34</f>
        <v>3473.4073600000002</v>
      </c>
      <c r="H13" s="8"/>
      <c r="I13" s="3">
        <f t="shared" si="0"/>
        <v>3603196.9441903997</v>
      </c>
      <c r="J13" s="187">
        <f t="shared" si="1"/>
        <v>3603196.9441903997</v>
      </c>
      <c r="M13" s="181"/>
      <c r="N13" s="168"/>
    </row>
    <row r="14" spans="1:17" x14ac:dyDescent="0.25">
      <c r="A14" s="10" t="s">
        <v>624</v>
      </c>
      <c r="B14" s="11">
        <f t="shared" ref="B14:J14" si="2">SUM(B2:B13)</f>
        <v>111549590.74171822</v>
      </c>
      <c r="C14" s="11">
        <f t="shared" si="2"/>
        <v>58775139.333395019</v>
      </c>
      <c r="D14" s="11">
        <f t="shared" si="2"/>
        <v>0</v>
      </c>
      <c r="E14" s="11">
        <f t="shared" si="2"/>
        <v>0</v>
      </c>
      <c r="F14" s="11">
        <f t="shared" si="2"/>
        <v>4002000</v>
      </c>
      <c r="G14" s="11">
        <f>SUM(G2:G13)</f>
        <v>4121791.7593920003</v>
      </c>
      <c r="H14" s="11">
        <f t="shared" si="2"/>
        <v>0</v>
      </c>
      <c r="I14" s="11">
        <f t="shared" si="2"/>
        <v>178448521.83450523</v>
      </c>
      <c r="J14" s="12">
        <f t="shared" si="2"/>
        <v>174446521.83450523</v>
      </c>
      <c r="M14" s="182"/>
    </row>
    <row r="15" spans="1:17" x14ac:dyDescent="0.25">
      <c r="G15" s="181"/>
      <c r="I15" s="168"/>
    </row>
    <row r="16" spans="1:17" x14ac:dyDescent="0.25">
      <c r="B16" s="194"/>
      <c r="C16" s="194"/>
      <c r="D16" s="194"/>
      <c r="E16" s="194"/>
      <c r="F16" s="195"/>
      <c r="G16" s="194"/>
      <c r="H16" s="194"/>
      <c r="I16" s="194"/>
      <c r="J16" s="194"/>
    </row>
    <row r="17" spans="1:13" x14ac:dyDescent="0.25">
      <c r="B17" s="183"/>
      <c r="C17" s="183"/>
      <c r="D17" s="183"/>
      <c r="F17" s="168"/>
      <c r="I17" s="181"/>
      <c r="M17" s="176"/>
    </row>
    <row r="18" spans="1:13" x14ac:dyDescent="0.25">
      <c r="B18" s="176"/>
      <c r="C18" s="176"/>
      <c r="D18" s="176"/>
      <c r="E18" s="176"/>
      <c r="F18" s="176"/>
      <c r="G18" s="176"/>
      <c r="H18" s="176"/>
      <c r="I18" s="176"/>
      <c r="J18" s="176"/>
      <c r="K18" s="176"/>
    </row>
    <row r="19" spans="1:13" ht="15.75" hidden="1" thickBot="1" x14ac:dyDescent="0.3">
      <c r="A19" t="s">
        <v>930</v>
      </c>
    </row>
    <row r="20" spans="1:13" ht="15.75" hidden="1" thickBot="1" x14ac:dyDescent="0.3">
      <c r="B20" s="173"/>
      <c r="C20" s="174"/>
    </row>
    <row r="21" spans="1:13" hidden="1" x14ac:dyDescent="0.25">
      <c r="A21" s="2" t="s">
        <v>485</v>
      </c>
      <c r="B21" s="169"/>
      <c r="C21" s="170"/>
      <c r="E21" s="176"/>
    </row>
    <row r="22" spans="1:13" hidden="1" x14ac:dyDescent="0.25">
      <c r="A22" s="14" t="s">
        <v>486</v>
      </c>
      <c r="B22" s="169"/>
      <c r="C22" s="170"/>
      <c r="E22" s="176"/>
    </row>
    <row r="23" spans="1:13" hidden="1" x14ac:dyDescent="0.25">
      <c r="A23" s="2" t="s">
        <v>488</v>
      </c>
      <c r="B23" s="169"/>
      <c r="C23" s="170"/>
      <c r="E23" s="176"/>
    </row>
    <row r="24" spans="1:13" hidden="1" x14ac:dyDescent="0.25">
      <c r="A24" s="2" t="s">
        <v>617</v>
      </c>
      <c r="B24" s="169"/>
      <c r="C24" s="170"/>
      <c r="E24" s="176"/>
      <c r="G24" s="176"/>
    </row>
    <row r="25" spans="1:13" hidden="1" x14ac:dyDescent="0.25">
      <c r="A25" s="2" t="s">
        <v>618</v>
      </c>
      <c r="B25" s="169"/>
      <c r="C25" s="170"/>
      <c r="E25" s="176"/>
    </row>
    <row r="26" spans="1:13" hidden="1" x14ac:dyDescent="0.25">
      <c r="A26" s="2" t="s">
        <v>619</v>
      </c>
      <c r="B26" s="169"/>
      <c r="C26" s="170"/>
      <c r="E26" s="176"/>
    </row>
    <row r="27" spans="1:13" hidden="1" x14ac:dyDescent="0.25">
      <c r="A27" s="6" t="s">
        <v>620</v>
      </c>
      <c r="B27" s="169"/>
      <c r="C27" s="170"/>
      <c r="E27" s="176"/>
    </row>
    <row r="28" spans="1:13" hidden="1" x14ac:dyDescent="0.25">
      <c r="A28" s="2" t="s">
        <v>490</v>
      </c>
      <c r="B28" s="169"/>
      <c r="C28" s="170"/>
      <c r="E28" s="176"/>
    </row>
    <row r="29" spans="1:13" hidden="1" x14ac:dyDescent="0.25">
      <c r="A29" s="2" t="s">
        <v>621</v>
      </c>
      <c r="B29" s="169"/>
      <c r="C29" s="170"/>
      <c r="E29" s="176"/>
    </row>
    <row r="30" spans="1:13" hidden="1" x14ac:dyDescent="0.25">
      <c r="A30" s="2" t="s">
        <v>622</v>
      </c>
      <c r="B30" s="169"/>
      <c r="C30" s="170"/>
      <c r="E30" s="176"/>
      <c r="G30" s="176"/>
    </row>
    <row r="31" spans="1:13" hidden="1" x14ac:dyDescent="0.25">
      <c r="A31" s="2" t="s">
        <v>308</v>
      </c>
      <c r="B31" s="169"/>
      <c r="C31" s="170"/>
      <c r="E31" s="176"/>
      <c r="G31" s="176"/>
    </row>
    <row r="32" spans="1:13" ht="30" hidden="1" x14ac:dyDescent="0.25">
      <c r="A32" s="7" t="s">
        <v>623</v>
      </c>
      <c r="B32" s="171"/>
      <c r="C32" s="172"/>
      <c r="E32" s="176"/>
      <c r="G32" s="176"/>
    </row>
    <row r="33" spans="1:4" ht="15.75" hidden="1" thickBot="1" x14ac:dyDescent="0.3">
      <c r="B33" s="175"/>
      <c r="C33" s="175"/>
      <c r="D33" s="176"/>
    </row>
    <row r="34" spans="1:4" ht="15.75" hidden="1" thickTop="1" x14ac:dyDescent="0.25"/>
    <row r="35" spans="1:4" hidden="1" x14ac:dyDescent="0.25">
      <c r="A35" t="s">
        <v>986</v>
      </c>
      <c r="B35" s="176"/>
    </row>
    <row r="36" spans="1:4" hidden="1" x14ac:dyDescent="0.25">
      <c r="A36" t="s">
        <v>987</v>
      </c>
      <c r="B36" s="176"/>
    </row>
    <row r="37" spans="1:4" ht="15.75" hidden="1" thickBot="1" x14ac:dyDescent="0.3">
      <c r="A37" t="s">
        <v>988</v>
      </c>
      <c r="B37" s="185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7DF3A-6146-4BCA-8FA9-B0917A27D348}">
  <sheetPr>
    <tabColor rgb="FF7030A0"/>
    <pageSetUpPr fitToPage="1"/>
  </sheetPr>
  <dimension ref="A3:FB318"/>
  <sheetViews>
    <sheetView view="pageBreakPreview" topLeftCell="A3" zoomScale="60" zoomScaleNormal="80" workbookViewId="0">
      <pane ySplit="7" topLeftCell="A242" activePane="bottomLeft" state="frozen"/>
      <selection activeCell="A3" sqref="A3"/>
      <selection pane="bottomLeft" activeCell="J292" sqref="J292"/>
    </sheetView>
  </sheetViews>
  <sheetFormatPr defaultColWidth="9.140625" defaultRowHeight="15.75" x14ac:dyDescent="0.25"/>
  <cols>
    <col min="1" max="1" width="71.28515625" style="209" customWidth="1"/>
    <col min="2" max="2" width="21.28515625" style="210" bestFit="1" customWidth="1"/>
    <col min="3" max="6" width="17.5703125" style="210" hidden="1" customWidth="1"/>
    <col min="7" max="7" width="17.5703125" style="210" customWidth="1"/>
    <col min="8" max="11" width="21.28515625" style="210" bestFit="1" customWidth="1"/>
    <col min="12" max="12" width="26.5703125" style="203" customWidth="1"/>
    <col min="13" max="13" width="53" style="211" customWidth="1"/>
    <col min="14" max="14" width="20.28515625" style="203" customWidth="1"/>
    <col min="15" max="15" width="19.5703125" style="211" customWidth="1"/>
    <col min="16" max="103" width="9.140625" style="211"/>
    <col min="104" max="16384" width="9.140625" style="212"/>
  </cols>
  <sheetData>
    <row r="3" spans="1:13" ht="15" customHeight="1" x14ac:dyDescent="0.25"/>
    <row r="4" spans="1:13" hidden="1" x14ac:dyDescent="0.25"/>
    <row r="5" spans="1:13" hidden="1" x14ac:dyDescent="0.25"/>
    <row r="6" spans="1:13" hidden="1" x14ac:dyDescent="0.25"/>
    <row r="7" spans="1:13" ht="64.5" customHeight="1" x14ac:dyDescent="0.25">
      <c r="A7" s="918" t="s">
        <v>1315</v>
      </c>
      <c r="B7" s="918"/>
      <c r="C7" s="918"/>
      <c r="D7" s="918"/>
      <c r="E7" s="918"/>
      <c r="F7" s="918"/>
      <c r="G7" s="918"/>
      <c r="H7" s="918"/>
      <c r="I7" s="918"/>
      <c r="J7" s="918"/>
      <c r="K7" s="918"/>
    </row>
    <row r="8" spans="1:13" ht="18" customHeight="1" thickBot="1" x14ac:dyDescent="0.3"/>
    <row r="9" spans="1:13" ht="72.75" customHeight="1" thickBot="1" x14ac:dyDescent="0.3">
      <c r="A9" s="213" t="s">
        <v>547</v>
      </c>
      <c r="B9" s="214" t="s">
        <v>1028</v>
      </c>
      <c r="C9" s="214" t="s">
        <v>983</v>
      </c>
      <c r="D9" s="214" t="s">
        <v>1027</v>
      </c>
      <c r="E9" s="214" t="s">
        <v>631</v>
      </c>
      <c r="F9" s="214" t="s">
        <v>1274</v>
      </c>
      <c r="G9" s="214" t="s">
        <v>1318</v>
      </c>
      <c r="H9" s="214" t="s">
        <v>1317</v>
      </c>
      <c r="I9" s="214" t="s">
        <v>932</v>
      </c>
      <c r="J9" s="214" t="s">
        <v>996</v>
      </c>
      <c r="K9" s="215" t="s">
        <v>1296</v>
      </c>
    </row>
    <row r="10" spans="1:13" x14ac:dyDescent="0.25">
      <c r="B10" s="216"/>
      <c r="C10" s="216"/>
      <c r="D10" s="216"/>
      <c r="E10" s="216"/>
      <c r="F10" s="216"/>
      <c r="G10" s="216"/>
      <c r="H10" s="216"/>
      <c r="I10" s="217"/>
      <c r="J10" s="217"/>
      <c r="K10" s="217"/>
    </row>
    <row r="11" spans="1:13" x14ac:dyDescent="0.25">
      <c r="A11" s="218" t="s">
        <v>548</v>
      </c>
      <c r="B11" s="219"/>
      <c r="C11" s="220"/>
      <c r="D11" s="220"/>
      <c r="E11" s="220"/>
      <c r="F11" s="219"/>
      <c r="G11" s="221"/>
      <c r="H11" s="219"/>
      <c r="I11" s="221"/>
      <c r="J11" s="220"/>
      <c r="K11" s="219"/>
    </row>
    <row r="12" spans="1:13" x14ac:dyDescent="0.25">
      <c r="A12" s="222"/>
      <c r="B12" s="223"/>
      <c r="C12" s="224"/>
      <c r="D12" s="224"/>
      <c r="E12" s="224"/>
      <c r="F12" s="223"/>
      <c r="G12" s="217"/>
      <c r="H12" s="223"/>
      <c r="I12" s="217"/>
      <c r="J12" s="224"/>
      <c r="K12" s="223"/>
    </row>
    <row r="13" spans="1:13" ht="20.25" customHeight="1" x14ac:dyDescent="0.25">
      <c r="A13" s="218" t="s">
        <v>549</v>
      </c>
      <c r="B13" s="223"/>
      <c r="C13" s="224"/>
      <c r="D13" s="224"/>
      <c r="E13" s="224"/>
      <c r="F13" s="223"/>
      <c r="G13" s="217"/>
      <c r="H13" s="223"/>
      <c r="I13" s="217"/>
      <c r="J13" s="224"/>
      <c r="K13" s="223"/>
    </row>
    <row r="14" spans="1:13" x14ac:dyDescent="0.25">
      <c r="A14" s="222" t="s">
        <v>513</v>
      </c>
      <c r="B14" s="223">
        <f>'Executive Mayor'!G10+IDP!G13+'Community Services'!H10+'Corporate Services'!G12+Agriculture!G14</f>
        <v>0</v>
      </c>
      <c r="C14" s="223">
        <f>'Executive Mayor'!H10+IDP!H13+'Community Services'!I10+'Corporate Services'!H12+Agriculture!H14</f>
        <v>74346.649999999994</v>
      </c>
      <c r="D14" s="223">
        <f>'Executive Mayor'!I10+IDP!I13+'Community Services'!J10+'Corporate Services'!I12+Agriculture!I14</f>
        <v>-74346.649999999994</v>
      </c>
      <c r="E14" s="223">
        <f>'Executive Mayor'!J10+IDP!J13+'Community Services'!K10+'Corporate Services'!J12+Agriculture!J14</f>
        <v>74347</v>
      </c>
      <c r="F14" s="223">
        <f>'Executive Mayor'!K10+IDP!K13+'Community Services'!L10+'Corporate Services'!K12+Agriculture!K14</f>
        <v>74347</v>
      </c>
      <c r="G14" s="217">
        <v>0</v>
      </c>
      <c r="H14" s="223">
        <f>F14+G14</f>
        <v>74347</v>
      </c>
      <c r="I14" s="225">
        <f>'Executive Mayor'!L10+IDP!L13+'Community Services'!M10+'Corporate Services'!L12+Agriculture!L14</f>
        <v>0</v>
      </c>
      <c r="J14" s="223">
        <f>'Executive Mayor'!M10+IDP!M13+'Community Services'!N10+'Corporate Services'!M12+Agriculture!M14</f>
        <v>0</v>
      </c>
      <c r="K14" s="223">
        <f>'Executive Mayor'!N10+IDP!N13+'Community Services'!O10+'Corporate Services'!N12+Agriculture!N14</f>
        <v>0</v>
      </c>
    </row>
    <row r="15" spans="1:13" x14ac:dyDescent="0.25">
      <c r="A15" s="222" t="s">
        <v>25</v>
      </c>
      <c r="B15" s="223">
        <f>Speaker!F13+'Chief Whip'!F11+'Executive Mayor'!G11+'Office of the MM'!G10+IDP!G9+Finance!G12+LED!G11+'Community Services'!H13+'Corporate Services'!G8+Agriculture!G10+Infrastructure!G10</f>
        <v>523200</v>
      </c>
      <c r="C15" s="223">
        <f>Speaker!G13+'Chief Whip'!G11+'Executive Mayor'!H11+'Office of the MM'!H10+IDP!H9+Finance!H12+LED!H11+'Community Services'!I13+'Corporate Services'!H8+Agriculture!H10+Infrastructure!H10</f>
        <v>419300</v>
      </c>
      <c r="D15" s="223">
        <f>Speaker!H13+'Chief Whip'!H11+'Executive Mayor'!I11+'Office of the MM'!I10+IDP!I9+Finance!I12+LED!I11+'Community Services'!J13+'Corporate Services'!I8+Agriculture!I10+Infrastructure!I10</f>
        <v>103900</v>
      </c>
      <c r="E15" s="223">
        <f>Speaker!I13+'Chief Whip'!I11+'Executive Mayor'!J11+'Office of the MM'!J10+IDP!J9+Finance!J12+LED!J11+'Community Services'!K13+'Corporate Services'!J8+Agriculture!J10+Infrastructure!J10</f>
        <v>382400</v>
      </c>
      <c r="F15" s="223">
        <f>Speaker!J13+'Chief Whip'!J11+'Executive Mayor'!K11+'Office of the MM'!K10+IDP!K9+Finance!K12+LED!K11+'Community Services'!L13+'Corporate Services'!K8+Agriculture!K10+Infrastructure!K10</f>
        <v>905600</v>
      </c>
      <c r="G15" s="217">
        <f>Infrastructure!L10</f>
        <v>3000</v>
      </c>
      <c r="H15" s="223">
        <f t="shared" ref="H15:H30" si="0">F15+G15</f>
        <v>908600</v>
      </c>
      <c r="I15" s="225">
        <f>Speaker!K13+'Chief Whip'!K11+'Executive Mayor'!L11+'Office of the MM'!L10+IDP!L9+Finance!L12+LED!L11+'Community Services'!M13+'Corporate Services'!L8+Agriculture!L10+Infrastructure!N10</f>
        <v>1069200</v>
      </c>
      <c r="J15" s="223">
        <f>Speaker!L13+'Chief Whip'!L11+'Executive Mayor'!M11+'Office of the MM'!M10+IDP!M9+Finance!M12+LED!M11+'Community Services'!N13+'Corporate Services'!M8+Agriculture!M10+Infrastructure!O10</f>
        <v>1351200</v>
      </c>
      <c r="K15" s="223">
        <f>Speaker!M13+'Chief Whip'!M11+'Executive Mayor'!N11+'Office of the MM'!N10+IDP!N9+Finance!N12+LED!N11+'Community Services'!O13+'Corporate Services'!N8+Agriculture!N10+Infrastructure!P10</f>
        <v>1351200</v>
      </c>
      <c r="M15" s="226"/>
    </row>
    <row r="16" spans="1:13" x14ac:dyDescent="0.25">
      <c r="A16" s="222" t="s">
        <v>76</v>
      </c>
      <c r="B16" s="223">
        <f>'Executive Mayor'!G13+'Office of the MM'!G12+IDP!G12+Finance!G14+LED!G13+'Community Services'!H15+'Corporate Services'!G10+Agriculture!G12+Infrastructure!G12</f>
        <v>329139</v>
      </c>
      <c r="C16" s="223">
        <f>'Executive Mayor'!H13+'Office of the MM'!H12+IDP!H12+Finance!H14+LED!H13+'Community Services'!I15+'Corporate Services'!H10+Agriculture!H12+Infrastructure!H12</f>
        <v>147490.46</v>
      </c>
      <c r="D16" s="223">
        <f>'Executive Mayor'!I13+'Office of the MM'!I12+IDP!I12+Finance!I14+LED!I13+'Community Services'!J15+'Corporate Services'!I10+Agriculture!I12+Infrastructure!I12</f>
        <v>181648.54</v>
      </c>
      <c r="E16" s="223">
        <f>'Executive Mayor'!J13+'Office of the MM'!J12+IDP!J12+Finance!J14+LED!J13+'Community Services'!K15+'Corporate Services'!J10+Agriculture!J12+Infrastructure!J12</f>
        <v>-11572.039999999997</v>
      </c>
      <c r="F16" s="223">
        <f>'Executive Mayor'!K13+'Office of the MM'!K12+IDP!K12+Finance!K14+LED!K13+'Community Services'!L15+'Corporate Services'!K10+Agriculture!K12+Infrastructure!K12</f>
        <v>317566.95999999996</v>
      </c>
      <c r="G16" s="217">
        <f>Infrastructure!L12</f>
        <v>0</v>
      </c>
      <c r="H16" s="223">
        <f t="shared" si="0"/>
        <v>317566.95999999996</v>
      </c>
      <c r="I16" s="225">
        <f>'Executive Mayor'!L13+'Office of the MM'!L12+IDP!L12+Finance!L14+LED!L13+'Community Services'!M15+'Corporate Services'!L10+Agriculture!L12+Infrastructure!N12</f>
        <v>337796</v>
      </c>
      <c r="J16" s="223">
        <f>'Executive Mayor'!M13+'Office of the MM'!M12+IDP!M12+Finance!M14+LED!M13+'Community Services'!N15+'Corporate Services'!M10+Agriculture!M12+Infrastructure!O12</f>
        <v>303068</v>
      </c>
      <c r="K16" s="223">
        <f>'Executive Mayor'!N13+'Office of the MM'!N12+IDP!N12+Finance!N14+LED!N13+'Community Services'!O15+'Corporate Services'!N10+Agriculture!N12+Infrastructure!P12</f>
        <v>303068</v>
      </c>
      <c r="M16" s="226"/>
    </row>
    <row r="17" spans="1:13" x14ac:dyDescent="0.25">
      <c r="A17" s="222" t="s">
        <v>29</v>
      </c>
      <c r="B17" s="223">
        <f>Speaker!F15+'Executive Mayor'!G14+'Office of the MM'!G13+Finance!G15+'Community Services'!H16+'Corporate Services'!G11+Infrastructure!G13</f>
        <v>50400</v>
      </c>
      <c r="C17" s="223">
        <f>Speaker!G15+'Executive Mayor'!H14+'Office of the MM'!H13+Finance!H15+'Community Services'!I16+'Corporate Services'!H11+Infrastructure!H13</f>
        <v>21600</v>
      </c>
      <c r="D17" s="223">
        <f>Speaker!H15+'Executive Mayor'!I14+'Office of the MM'!I13+Finance!I15+'Community Services'!J16+'Corporate Services'!I11+Infrastructure!I13</f>
        <v>28800</v>
      </c>
      <c r="E17" s="223">
        <f>Speaker!I15+'Executive Mayor'!J14+'Office of the MM'!J13+Finance!J15+'Community Services'!K16+'Corporate Services'!J11+Infrastructure!J13</f>
        <v>0</v>
      </c>
      <c r="F17" s="223">
        <f>Speaker!J15+'Executive Mayor'!K14+'Office of the MM'!K13+Finance!K15+'Community Services'!L16+'Corporate Services'!K11+Infrastructure!K13</f>
        <v>50400</v>
      </c>
      <c r="G17" s="217">
        <f>Infrastructure!L13</f>
        <v>0</v>
      </c>
      <c r="H17" s="223">
        <f t="shared" si="0"/>
        <v>50400</v>
      </c>
      <c r="I17" s="225">
        <f>Speaker!K15+'Executive Mayor'!L14+'Office of the MM'!L13+Finance!L15+'Community Services'!M16+'Corporate Services'!L11+Agriculture!L13+Infrastructure!N13</f>
        <v>57600</v>
      </c>
      <c r="J17" s="223">
        <f>Speaker!L15+'Executive Mayor'!M14+'Office of the MM'!M13+Finance!M15+'Community Services'!N16+'Corporate Services'!M11+Infrastructure!O13</f>
        <v>54000</v>
      </c>
      <c r="K17" s="223">
        <f>Speaker!M15+'Executive Mayor'!N14+'Office of the MM'!N13+Finance!N15+'Community Services'!O16+'Corporate Services'!N11+Infrastructure!P13</f>
        <v>54000</v>
      </c>
      <c r="M17" s="226"/>
    </row>
    <row r="18" spans="1:13" x14ac:dyDescent="0.25">
      <c r="A18" s="227" t="s">
        <v>550</v>
      </c>
      <c r="B18" s="223">
        <v>0</v>
      </c>
      <c r="C18" s="223">
        <v>0</v>
      </c>
      <c r="D18" s="223">
        <v>0</v>
      </c>
      <c r="E18" s="223">
        <v>0</v>
      </c>
      <c r="F18" s="223">
        <v>0</v>
      </c>
      <c r="G18" s="217">
        <v>0</v>
      </c>
      <c r="H18" s="223">
        <f t="shared" si="0"/>
        <v>0</v>
      </c>
      <c r="I18" s="217">
        <v>0</v>
      </c>
      <c r="J18" s="224">
        <v>0</v>
      </c>
      <c r="K18" s="223">
        <v>0</v>
      </c>
      <c r="M18" s="226"/>
    </row>
    <row r="19" spans="1:13" x14ac:dyDescent="0.25">
      <c r="A19" s="222" t="s">
        <v>236</v>
      </c>
      <c r="B19" s="223">
        <f>'Corporate Services'!G16</f>
        <v>867374</v>
      </c>
      <c r="C19" s="223">
        <f>'Corporate Services'!H16</f>
        <v>404599.55</v>
      </c>
      <c r="D19" s="223">
        <f>'Corporate Services'!I16</f>
        <v>462774.45</v>
      </c>
      <c r="E19" s="223">
        <f>'Corporate Services'!J16</f>
        <v>551120.20000000019</v>
      </c>
      <c r="F19" s="223">
        <f>'Corporate Services'!K16</f>
        <v>1418494.2000000002</v>
      </c>
      <c r="G19" s="217">
        <v>0</v>
      </c>
      <c r="H19" s="223">
        <f t="shared" si="0"/>
        <v>1418494.2000000002</v>
      </c>
      <c r="I19" s="225">
        <f>Speaker!K19+'Executive Mayor'!L18+'Office of the MM'!L18+'Corporate Services'!L16</f>
        <v>1426737.9200000002</v>
      </c>
      <c r="J19" s="223">
        <f>Speaker!L19+'Executive Mayor'!M18+'Office of the MM'!M18+'Corporate Services'!M16</f>
        <v>1009486.16</v>
      </c>
      <c r="K19" s="223">
        <f>Speaker!M19+'Executive Mayor'!N18+'Office of the MM'!N18+'Corporate Services'!N16</f>
        <v>1018049.9172</v>
      </c>
      <c r="M19" s="226"/>
    </row>
    <row r="20" spans="1:13" x14ac:dyDescent="0.25">
      <c r="A20" s="222" t="s">
        <v>27</v>
      </c>
      <c r="B20" s="223">
        <f>Speaker!F14+'Executive Mayor'!G12+'Office of the MM'!G11+IDP!G11+Finance!G13+LED!G12+'Community Services'!H14+'Corporate Services'!G9+Agriculture!G11+Infrastructure!G11</f>
        <v>9835293</v>
      </c>
      <c r="C20" s="223">
        <f>Speaker!G14+'Executive Mayor'!H12+'Office of the MM'!H11+IDP!H11+Finance!H13+LED!H12+'Community Services'!I14+'Corporate Services'!H9+Agriculture!H11+Infrastructure!H11</f>
        <v>4599116.4699999988</v>
      </c>
      <c r="D20" s="223">
        <f>Speaker!H14+'Executive Mayor'!I12+'Office of the MM'!I11+IDP!I11+Finance!I13+LED!I12+'Community Services'!J14+'Corporate Services'!I9+Agriculture!I11+Infrastructure!I11</f>
        <v>5236176.5300000012</v>
      </c>
      <c r="E20" s="223">
        <f>Speaker!I14+'Executive Mayor'!J12+'Office of the MM'!J11+IDP!J11+Finance!J13+LED!J12+'Community Services'!K14+'Corporate Services'!J9+Agriculture!J11+Infrastructure!J11</f>
        <v>-42435.840000001233</v>
      </c>
      <c r="F20" s="223">
        <f>Speaker!J14+'Executive Mayor'!K12+'Office of the MM'!K11+IDP!K11+Finance!K13+LED!K12+'Community Services'!L14+'Corporate Services'!K9+Agriculture!K11+Infrastructure!K11</f>
        <v>9792857.1599999983</v>
      </c>
      <c r="G20" s="217">
        <f>Infrastructure!L11</f>
        <v>68252</v>
      </c>
      <c r="H20" s="223">
        <f t="shared" si="0"/>
        <v>9861109.1599999983</v>
      </c>
      <c r="I20" s="225">
        <f>Speaker!K14+'Executive Mayor'!L12+'Office of the MM'!L11+IDP!L11+Finance!L13+LED!L12+'Community Services'!M14+'Corporate Services'!L9+Agriculture!L11+Infrastructure!N11</f>
        <v>11965359.728399999</v>
      </c>
      <c r="J20" s="223">
        <f>Speaker!L14+'Executive Mayor'!M12+'Office of the MM'!M11+IDP!M11+Finance!M13+LED!M12+'Community Services'!N14+'Corporate Services'!M9+Agriculture!M11+Infrastructure!O11</f>
        <v>11456942.816399999</v>
      </c>
      <c r="K20" s="223">
        <f>Speaker!M14+'Executive Mayor'!N12+'Office of the MM'!N11+IDP!N11+Finance!N13+LED!N12+'Community Services'!O14+'Corporate Services'!N9+Agriculture!N11+Infrastructure!P11</f>
        <v>11541436.370960001</v>
      </c>
      <c r="M20" s="226"/>
    </row>
    <row r="21" spans="1:13" x14ac:dyDescent="0.25">
      <c r="A21" s="222" t="s">
        <v>31</v>
      </c>
      <c r="B21" s="223">
        <f>Speaker!F16+'Chief Whip'!F13+'Executive Mayor'!G15+'Office of the MM'!G14+IDP!G14+Finance!G17+LED!G14+'Community Services'!H17+'Corporate Services'!G13+Agriculture!G15+Infrastructure!G14</f>
        <v>4444608.6899999995</v>
      </c>
      <c r="C21" s="223">
        <f>Speaker!G16+'Chief Whip'!G13+'Executive Mayor'!H15+'Office of the MM'!H14+IDP!H14+Finance!H17+LED!H14+'Community Services'!I17+'Corporate Services'!H13+Agriculture!H15+Infrastructure!H14</f>
        <v>1866977.7799999998</v>
      </c>
      <c r="D21" s="223">
        <f>Speaker!H16+'Chief Whip'!H13+'Executive Mayor'!I15+'Office of the MM'!I14+IDP!I14+Finance!I17+LED!I14+'Community Services'!J17+'Corporate Services'!I13+Agriculture!I15+Infrastructure!I14</f>
        <v>2577630.91</v>
      </c>
      <c r="E21" s="223">
        <f>Speaker!I16+'Chief Whip'!I13+'Executive Mayor'!J15+'Office of the MM'!J14+IDP!J14+Finance!J17+LED!J14+'Community Services'!K17+'Corporate Services'!J13+Agriculture!J15+Infrastructure!J14</f>
        <v>-173310.60892</v>
      </c>
      <c r="F21" s="223">
        <f>Speaker!J16+'Chief Whip'!J13+'Executive Mayor'!K15+'Office of the MM'!K14+IDP!K14+Finance!K17+LED!K14+'Community Services'!L17+'Corporate Services'!K13+Agriculture!K15+Infrastructure!K14</f>
        <v>4271298.0810799999</v>
      </c>
      <c r="G21" s="217">
        <f>Infrastructure!L14</f>
        <v>197133</v>
      </c>
      <c r="H21" s="223">
        <f t="shared" si="0"/>
        <v>4468431.0810799999</v>
      </c>
      <c r="I21" s="225">
        <f>Speaker!K16+'Chief Whip'!K13+'Executive Mayor'!L15+'Office of the MM'!L14+IDP!L14+Finance!L17+LED!L14+'Community Services'!M17+'Corporate Services'!L13+Agriculture!L15+Infrastructure!N14</f>
        <v>4491590</v>
      </c>
      <c r="J21" s="223">
        <f>Speaker!L16+'Chief Whip'!L13+'Executive Mayor'!M15+'Office of the MM'!M14+IDP!M14+Finance!M17+LED!M14+'Community Services'!N17+'Corporate Services'!M13+Agriculture!M15+Infrastructure!O14</f>
        <v>4376910.8719999995</v>
      </c>
      <c r="K21" s="223">
        <f>Speaker!M16+'Chief Whip'!M13+'Executive Mayor'!N15+'Office of the MM'!N14+IDP!N14+Finance!N17+LED!N14+'Community Services'!O17+'Corporate Services'!N13+Agriculture!N15+Infrastructure!P14</f>
        <v>4540952.71624</v>
      </c>
      <c r="M21" s="226"/>
    </row>
    <row r="22" spans="1:13" x14ac:dyDescent="0.25">
      <c r="A22" s="222" t="s">
        <v>11</v>
      </c>
      <c r="B22" s="223">
        <f>Speaker!F11+'Chief Whip'!F10+'Executive Mayor'!G8+'Office of the MM'!G7+IDP!G8+LED!G9+Finance!G8+'Corporate Services'!G5+'Community Services'!H9+Infrastructure!G7+Agriculture!G8</f>
        <v>57374450</v>
      </c>
      <c r="C22" s="223">
        <f>Speaker!G11+'Chief Whip'!G10+'Executive Mayor'!H8+'Office of the MM'!H7+IDP!H8+LED!H9+Finance!H8+'Corporate Services'!H5+'Community Services'!I9+Infrastructure!H7+Agriculture!H8</f>
        <v>25575640.5</v>
      </c>
      <c r="D22" s="223">
        <f>Speaker!H11+'Chief Whip'!H10+'Executive Mayor'!I8+'Office of the MM'!I7+IDP!I8+LED!I9+Finance!I8+'Corporate Services'!I5+'Community Services'!J9+Infrastructure!I7+Agriculture!I8</f>
        <v>31798809.5</v>
      </c>
      <c r="E22" s="223">
        <f>Speaker!I11+'Chief Whip'!I10+'Executive Mayor'!J8+'Office of the MM'!J7+IDP!J8+LED!J9+Finance!J8+'Corporate Services'!J5+'Community Services'!K9+Infrastructure!J7+Agriculture!J8</f>
        <v>700775.1223050002</v>
      </c>
      <c r="F22" s="223">
        <f>Speaker!J11+'Chief Whip'!J10+'Executive Mayor'!K8+'Office of the MM'!K7+IDP!K8+LED!K9+Finance!K8+'Corporate Services'!K5+'Community Services'!L9+Infrastructure!K7+Agriculture!K8</f>
        <v>58075225.122305006</v>
      </c>
      <c r="G22" s="217">
        <f>Infrastructure!L7</f>
        <v>591339</v>
      </c>
      <c r="H22" s="223">
        <f t="shared" si="0"/>
        <v>58666564.122305006</v>
      </c>
      <c r="I22" s="225">
        <f>Speaker!K11+'Chief Whip'!K10+'Executive Mayor'!L8+'Office of the MM'!L7+IDP!L8+LED!L9+Finance!L8+'Corporate Services'!L5+'Community Services'!M9+Infrastructure!N7+Agriculture!L8</f>
        <v>65529911.879398212</v>
      </c>
      <c r="J22" s="223">
        <f>Speaker!L11+'Chief Whip'!L10+'Executive Mayor'!M8+'Office of the MM'!M7+IDP!M8+LED!M9+Finance!M8+'Corporate Services'!M5+'Community Services'!N9+Infrastructure!O7+Agriculture!M8</f>
        <v>64673735.814091735</v>
      </c>
      <c r="K22" s="223">
        <f>Speaker!M11+'Chief Whip'!M10+'Executive Mayor'!N8+'Office of the MM'!N7+IDP!N8+LED!N9+Finance!N8+'Corporate Services'!N5+'Community Services'!O9+Infrastructure!P7+Agriculture!N8</f>
        <v>72601446.744557858</v>
      </c>
      <c r="M22" s="226"/>
    </row>
    <row r="23" spans="1:13" x14ac:dyDescent="0.25">
      <c r="A23" s="222" t="s">
        <v>519</v>
      </c>
      <c r="B23" s="224">
        <f>Finance!G9</f>
        <v>0</v>
      </c>
      <c r="C23" s="224">
        <f>Finance!H9</f>
        <v>284415.92</v>
      </c>
      <c r="D23" s="224">
        <f>Finance!I9</f>
        <v>-284415.92</v>
      </c>
      <c r="E23" s="224">
        <f>Finance!J9</f>
        <v>580000</v>
      </c>
      <c r="F23" s="223">
        <f>Finance!K9</f>
        <v>580000</v>
      </c>
      <c r="G23" s="217">
        <v>0</v>
      </c>
      <c r="H23" s="223">
        <f t="shared" si="0"/>
        <v>580000</v>
      </c>
      <c r="I23" s="217">
        <f>Finance!L9</f>
        <v>450000</v>
      </c>
      <c r="J23" s="224">
        <f>Finance!M9</f>
        <v>469800</v>
      </c>
      <c r="K23" s="223">
        <f>Finance!N9</f>
        <v>490940.99999999994</v>
      </c>
      <c r="M23" s="226"/>
    </row>
    <row r="24" spans="1:13" x14ac:dyDescent="0.25">
      <c r="A24" s="222" t="s">
        <v>314</v>
      </c>
      <c r="B24" s="223">
        <f>'Office of the MM'!G8+Finance!G10+'Corporate Services'!G6+'Community Services'!H11+Infrastructure!G8</f>
        <v>855788</v>
      </c>
      <c r="C24" s="223">
        <f>'Office of the MM'!H8+Finance!H10+'Corporate Services'!H6+'Community Services'!I11+Infrastructure!H8</f>
        <v>0</v>
      </c>
      <c r="D24" s="223">
        <f>'Office of the MM'!I8+Finance!I10+'Corporate Services'!I6+'Community Services'!J11+Infrastructure!I8</f>
        <v>855788</v>
      </c>
      <c r="E24" s="223">
        <f>'Office of the MM'!J8+Finance!J10+'Corporate Services'!J6+'Community Services'!K11+Infrastructure!J8</f>
        <v>-171480</v>
      </c>
      <c r="F24" s="223">
        <f>'Office of the MM'!K8+Finance!K10+'Corporate Services'!K6+'Community Services'!L11+Infrastructure!K8</f>
        <v>684308</v>
      </c>
      <c r="G24" s="217">
        <v>0</v>
      </c>
      <c r="H24" s="223">
        <f t="shared" si="0"/>
        <v>684308</v>
      </c>
      <c r="I24" s="225">
        <f>'Office of the MM'!L8+Finance!L10+'Corporate Services'!L6+'Community Services'!M11+Infrastructure!N8</f>
        <v>671911</v>
      </c>
      <c r="J24" s="223">
        <f>'Office of the MM'!M8+Finance!M10+'Corporate Services'!M6+'Community Services'!N11+Infrastructure!O8</f>
        <v>683593</v>
      </c>
      <c r="K24" s="223">
        <f>'Office of the MM'!N8+Finance!N10+'Corporate Services'!N6+'Community Services'!O11+Infrastructure!P8</f>
        <v>698832</v>
      </c>
      <c r="M24" s="226"/>
    </row>
    <row r="25" spans="1:13" x14ac:dyDescent="0.25">
      <c r="A25" s="222" t="s">
        <v>630</v>
      </c>
      <c r="B25" s="223">
        <f>Speaker!F17+'Chief Whip'!F14+'MAYCO &amp; COUNCIL'!G13+'Executive Mayor'!G16+'Office of the MM'!G16+IDP!G16+LED!G16+Finance!G20+'Corporate Services'!G15+'Community Services'!H19+Infrastructure!G16+Agriculture!G17</f>
        <v>450654</v>
      </c>
      <c r="C25" s="223">
        <f>Speaker!G17+'Chief Whip'!G14+'MAYCO &amp; COUNCIL'!H13+'Executive Mayor'!H16+'Office of the MM'!H16+IDP!H16+LED!H16+Finance!H20+'Corporate Services'!H15+'Community Services'!I19+Infrastructure!H16+Agriculture!H17</f>
        <v>82169.87</v>
      </c>
      <c r="D25" s="223">
        <f>Speaker!H17+'Chief Whip'!H14+'MAYCO &amp; COUNCIL'!I13+'Executive Mayor'!I16+'Office of the MM'!I16+IDP!I16+LED!I16+Finance!I20+'Corporate Services'!I15+'Community Services'!J19+Infrastructure!I16+Agriculture!I17</f>
        <v>368484.13</v>
      </c>
      <c r="E25" s="223">
        <f>Speaker!I17+'Chief Whip'!I14+'MAYCO &amp; COUNCIL'!J13+'Executive Mayor'!J16+'Office of the MM'!J16+IDP!J16+LED!J16+Finance!J20+'Corporate Services'!J15+'Community Services'!K19+Infrastructure!J16+Agriculture!J17</f>
        <v>-60489</v>
      </c>
      <c r="F25" s="223">
        <f>Speaker!J17+'Chief Whip'!J14+'MAYCO &amp; COUNCIL'!K13+'Executive Mayor'!K16+'Office of the MM'!K16+IDP!K16+LED!K16+Finance!K20+'Corporate Services'!K15+'Community Services'!L19+Infrastructure!K16+Agriculture!K17</f>
        <v>390165</v>
      </c>
      <c r="G25" s="217">
        <v>0</v>
      </c>
      <c r="H25" s="223">
        <f t="shared" si="0"/>
        <v>390165</v>
      </c>
      <c r="I25" s="225">
        <f>Speaker!K17+'Chief Whip'!K14+'Executive Mayor'!L16+'Office of the MM'!L16+IDP!L16+Finance!L20+LED!L16+'Community Services'!M19+'Corporate Services'!L15+Agriculture!L17+Infrastructure!N16</f>
        <v>315170.28319999995</v>
      </c>
      <c r="J25" s="223">
        <f>Speaker!L17+'Chief Whip'!L14+'MAYCO &amp; COUNCIL'!M13+'Executive Mayor'!M16+'Office of the MM'!M16+IDP!M16+LED!M16+Finance!M20+'Corporate Services'!M15+'Community Services'!N19+Infrastructure!O16+Agriculture!M17</f>
        <v>329091.96459680004</v>
      </c>
      <c r="K25" s="223">
        <f>Speaker!M17+'Chief Whip'!M14+'MAYCO &amp; COUNCIL'!N13+'Executive Mayor'!N16+'Office of the MM'!N16+IDP!N16+LED!N16+Finance!N20+'Corporate Services'!N15+'Community Services'!O19+Infrastructure!P16+Agriculture!N17</f>
        <v>343901.10300365597</v>
      </c>
      <c r="M25" s="226"/>
    </row>
    <row r="26" spans="1:13" x14ac:dyDescent="0.25">
      <c r="A26" s="222" t="s">
        <v>551</v>
      </c>
      <c r="B26" s="223">
        <f>Speaker!F18+'Chief Whip'!F15+'Executive Mayor'!G17+'Office of the MM'!G15+IDP!G15+LED!G15+Finance!G18+'Corporate Services'!G14+'Community Services'!H18+Infrastructure!G15+Agriculture!G16</f>
        <v>324367.41000000003</v>
      </c>
      <c r="C26" s="223">
        <f>Speaker!G18+'Chief Whip'!G15+'Executive Mayor'!H17+'Office of the MM'!H15+IDP!H15+LED!H15+Finance!H18+'Corporate Services'!H14+'Community Services'!I18+Infrastructure!H15+Agriculture!H16</f>
        <v>1247640.2799999998</v>
      </c>
      <c r="D26" s="223">
        <f>Speaker!H18+'Chief Whip'!H15+'Executive Mayor'!I17+'Office of the MM'!I15+IDP!I15+LED!I15+Finance!I18+'Corporate Services'!I14+'Community Services'!J18+Infrastructure!I15+Agriculture!I16</f>
        <v>-923272.86999999988</v>
      </c>
      <c r="E26" s="223">
        <f>Speaker!I18+'Chief Whip'!I15+'Executive Mayor'!J17+'Office of the MM'!J15+IDP!J15+LED!J15+Finance!J18+'Corporate Services'!J14+'Community Services'!K18+Infrastructure!J15+Agriculture!J16</f>
        <v>1256208.1000000001</v>
      </c>
      <c r="F26" s="223">
        <f>Speaker!J18+'Chief Whip'!J15+'Executive Mayor'!K17+'Office of the MM'!K15+IDP!K15+LED!K15+Finance!K18+'Corporate Services'!K14+'Community Services'!L18+Infrastructure!K15+Agriculture!K16</f>
        <v>1580575.5099999998</v>
      </c>
      <c r="G26" s="217">
        <v>0</v>
      </c>
      <c r="H26" s="223">
        <f t="shared" si="0"/>
        <v>1580575.5099999998</v>
      </c>
      <c r="I26" s="225">
        <f>Speaker!K18+'Chief Whip'!K15+'Executive Mayor'!L17+'Office of the MM'!L15+IDP!L15+LED!L15+Finance!L18+'Corporate Services'!L14+'Community Services'!M18+Infrastructure!N15+Agriculture!L16</f>
        <v>610474.58816000004</v>
      </c>
      <c r="J26" s="223">
        <f>Speaker!L18+'Chief Whip'!L15+'Executive Mayor'!M17+'Office of the MM'!M15+IDP!M15+LED!M15+Finance!M18+'Corporate Services'!M14+'Community Services'!N18+Infrastructure!O15+Agriculture!M16</f>
        <v>637335.47003904008</v>
      </c>
      <c r="K26" s="223">
        <f>Speaker!M18+'Chief Whip'!M15+'Executive Mayor'!N17+'Office of the MM'!N15+IDP!N15+LED!N15+Finance!N18+'Corporate Services'!N14+'Community Services'!O18+Infrastructure!P15+Agriculture!N16</f>
        <v>665797.72909335839</v>
      </c>
      <c r="M26" s="226"/>
    </row>
    <row r="27" spans="1:13" x14ac:dyDescent="0.25">
      <c r="A27" s="222" t="s">
        <v>341</v>
      </c>
      <c r="B27" s="223">
        <f>Speaker!F12+'Executive Mayor'!G9+'Office of the MM'!G9+IDP!G17+LED!G10+Finance!G11+'Corporate Services'!G7+'Community Services'!H12+Infrastructure!G9+Agriculture!G9</f>
        <v>281658</v>
      </c>
      <c r="C27" s="223">
        <f>Speaker!G12+'Executive Mayor'!H9+'Office of the MM'!H9+IDP!H17+LED!H10+Finance!H11+'Corporate Services'!H7+'Community Services'!I12+Infrastructure!H9+Agriculture!H9</f>
        <v>71919.839999999997</v>
      </c>
      <c r="D27" s="223">
        <f>Speaker!H12+'Executive Mayor'!I9+'Office of the MM'!I9+IDP!I17+LED!I10+Finance!I11+'Corporate Services'!I7+'Community Services'!J12+Infrastructure!I9+Agriculture!I9</f>
        <v>209738.16</v>
      </c>
      <c r="E27" s="223">
        <f>Speaker!I12+'Executive Mayor'!J9+'Office of the MM'!J9+IDP!J17+LED!J10+Finance!J11+'Corporate Services'!J7+'Community Services'!K12+Infrastructure!J9+Agriculture!J9</f>
        <v>-75083.62</v>
      </c>
      <c r="F27" s="223">
        <f>Speaker!J12+'Executive Mayor'!K9+'Office of the MM'!K9+IDP!K17+LED!K10+Finance!K11+'Corporate Services'!K7+'Community Services'!L12+Infrastructure!K9+Agriculture!K9</f>
        <v>206574.38</v>
      </c>
      <c r="G27" s="217">
        <v>0</v>
      </c>
      <c r="H27" s="223">
        <f t="shared" si="0"/>
        <v>206574.38</v>
      </c>
      <c r="I27" s="225">
        <f>Speaker!K12+'MAYCO &amp; COUNCIL'!L14+'Executive Mayor'!L9+'Office of the MM'!L9+IDP!L17+Finance!L11+LED!L10+'Community Services'!M12+'Corporate Services'!L7+Agriculture!L9+Infrastructure!N9</f>
        <v>208228.85055999999</v>
      </c>
      <c r="J27" s="223">
        <f>Speaker!L12+'Executive Mayor'!M9+'Office of the MM'!M9+IDP!M17+LED!M10+Finance!M11+'Corporate Services'!M7+'Community Services'!N12+Infrastructure!O9+Agriculture!M9</f>
        <v>161784.67710464</v>
      </c>
      <c r="K27" s="223">
        <f>Speaker!M12+'Executive Mayor'!N9+'Office of the MM'!N9+IDP!N17+LED!N10+Finance!N11+'Corporate Services'!N7+'Community Services'!O12+Infrastructure!P9+Agriculture!N9</f>
        <v>168704.98757434881</v>
      </c>
      <c r="M27" s="226"/>
    </row>
    <row r="28" spans="1:13" x14ac:dyDescent="0.25">
      <c r="A28" s="222" t="s">
        <v>1298</v>
      </c>
      <c r="B28" s="223">
        <v>0</v>
      </c>
      <c r="C28" s="224">
        <v>0</v>
      </c>
      <c r="D28" s="224">
        <v>0</v>
      </c>
      <c r="E28" s="224">
        <v>0</v>
      </c>
      <c r="F28" s="223">
        <v>0</v>
      </c>
      <c r="G28" s="217">
        <v>0</v>
      </c>
      <c r="H28" s="223">
        <f t="shared" si="0"/>
        <v>0</v>
      </c>
      <c r="I28" s="217">
        <f>'Corporate Services'!L18</f>
        <v>131476</v>
      </c>
      <c r="J28" s="224">
        <f>'Corporate Services'!M18</f>
        <v>136998</v>
      </c>
      <c r="K28" s="223">
        <f>'Corporate Services'!N18</f>
        <v>143025.82</v>
      </c>
      <c r="M28" s="226"/>
    </row>
    <row r="29" spans="1:13" x14ac:dyDescent="0.25">
      <c r="A29" s="222" t="s">
        <v>626</v>
      </c>
      <c r="B29" s="223"/>
      <c r="C29" s="224"/>
      <c r="D29" s="224"/>
      <c r="E29" s="224"/>
      <c r="F29" s="223"/>
      <c r="G29" s="217">
        <v>0</v>
      </c>
      <c r="H29" s="223">
        <f t="shared" si="0"/>
        <v>0</v>
      </c>
      <c r="I29" s="217"/>
      <c r="J29" s="224"/>
      <c r="K29" s="223"/>
      <c r="M29" s="226"/>
    </row>
    <row r="30" spans="1:13" x14ac:dyDescent="0.25">
      <c r="A30" s="222" t="s">
        <v>328</v>
      </c>
      <c r="B30" s="223">
        <f>'Executive Mayor'!G20+'Corporate Services'!G19+'Community Services'!H21+LED!G17+Speaker!F20+'Chief Whip'!F16</f>
        <v>309759</v>
      </c>
      <c r="C30" s="223">
        <f>'Executive Mayor'!H20+'Corporate Services'!H19+'Community Services'!I21+LED!H17+Speaker!G20+'Chief Whip'!G16</f>
        <v>14029.12</v>
      </c>
      <c r="D30" s="223">
        <f>'Executive Mayor'!I20+'Corporate Services'!I19+'Community Services'!J21+LED!I17+Speaker!H20+'Chief Whip'!H16</f>
        <v>295729.88</v>
      </c>
      <c r="E30" s="223">
        <f>'Executive Mayor'!J20+'Corporate Services'!J19+'Community Services'!K21+LED!J17+Speaker!I20+'Chief Whip'!I16</f>
        <v>-150000</v>
      </c>
      <c r="F30" s="223">
        <f>'Executive Mayor'!K20+'Corporate Services'!K19+'Community Services'!L21+LED!K17+Speaker!J20+'Chief Whip'!J16</f>
        <v>159759</v>
      </c>
      <c r="G30" s="217">
        <v>0</v>
      </c>
      <c r="H30" s="251">
        <f t="shared" si="0"/>
        <v>159759</v>
      </c>
      <c r="I30" s="225">
        <f>'Executive Mayor'!L20+'Corporate Services'!L19+'Community Services'!M21+LED!L17+Speaker!K20+'Chief Whip'!K16</f>
        <v>73573.440000000002</v>
      </c>
      <c r="J30" s="223">
        <f>'Executive Mayor'!M20+'Corporate Services'!M19+'Community Services'!N21+LED!M17+Speaker!L20+'Chief Whip'!L16</f>
        <v>0</v>
      </c>
      <c r="K30" s="223">
        <f>'Executive Mayor'!N20+'Corporate Services'!N19+'Community Services'!O21+LED!N17+Speaker!M20+'Chief Whip'!M16</f>
        <v>0</v>
      </c>
      <c r="M30" s="226"/>
    </row>
    <row r="31" spans="1:13" x14ac:dyDescent="0.25">
      <c r="A31" s="218" t="s">
        <v>552</v>
      </c>
      <c r="B31" s="228">
        <f t="shared" ref="B31:K31" si="1">SUM(B14:B30)</f>
        <v>75646691.099999994</v>
      </c>
      <c r="C31" s="228">
        <f t="shared" si="1"/>
        <v>34809246.439999998</v>
      </c>
      <c r="D31" s="228">
        <f t="shared" si="1"/>
        <v>40837444.660000004</v>
      </c>
      <c r="E31" s="228">
        <f t="shared" si="1"/>
        <v>2860479.3133849991</v>
      </c>
      <c r="F31" s="228">
        <f t="shared" si="1"/>
        <v>78507170.413385004</v>
      </c>
      <c r="G31" s="228">
        <f t="shared" si="1"/>
        <v>859724</v>
      </c>
      <c r="H31" s="228">
        <f t="shared" si="1"/>
        <v>79366894.413385004</v>
      </c>
      <c r="I31" s="229">
        <f t="shared" si="1"/>
        <v>87339029.689718187</v>
      </c>
      <c r="J31" s="228">
        <f t="shared" si="1"/>
        <v>85643946.774232209</v>
      </c>
      <c r="K31" s="228">
        <f t="shared" si="1"/>
        <v>93921356.388629213</v>
      </c>
      <c r="M31" s="226"/>
    </row>
    <row r="32" spans="1:13" x14ac:dyDescent="0.25">
      <c r="A32" s="222"/>
      <c r="B32" s="223"/>
      <c r="C32" s="224"/>
      <c r="D32" s="224"/>
      <c r="E32" s="224"/>
      <c r="F32" s="223"/>
      <c r="G32" s="217"/>
      <c r="H32" s="219"/>
      <c r="I32" s="217"/>
      <c r="J32" s="224"/>
      <c r="K32" s="223"/>
      <c r="M32" s="226"/>
    </row>
    <row r="33" spans="1:13" x14ac:dyDescent="0.25">
      <c r="A33" s="218" t="s">
        <v>553</v>
      </c>
      <c r="B33" s="223"/>
      <c r="C33" s="224"/>
      <c r="D33" s="224"/>
      <c r="E33" s="224"/>
      <c r="F33" s="223"/>
      <c r="G33" s="217"/>
      <c r="H33" s="223"/>
      <c r="I33" s="217"/>
      <c r="J33" s="224"/>
      <c r="K33" s="223"/>
      <c r="M33" s="226"/>
    </row>
    <row r="34" spans="1:13" x14ac:dyDescent="0.25">
      <c r="A34" s="222" t="s">
        <v>13</v>
      </c>
      <c r="B34" s="223">
        <f>Speaker!F24+'Executive Mayor'!G24+'Office of the MM'!G23+IDP!G21+LED!G21+Finance!G25+'Corporate Services'!G22+'Community Services'!H24+Infrastructure!G20+Agriculture!G23</f>
        <v>11445</v>
      </c>
      <c r="C34" s="223">
        <f>Speaker!G24+'Executive Mayor'!H24+'Office of the MM'!H23+IDP!H21+LED!H21+Finance!H25+'Corporate Services'!H22+'Community Services'!I24+Infrastructure!H20+Agriculture!H23</f>
        <v>8061.8600000000006</v>
      </c>
      <c r="D34" s="223">
        <f>Speaker!H24+'Executive Mayor'!I24+'Office of the MM'!I23+IDP!I21+LED!I21+Finance!I25+'Corporate Services'!I22+'Community Services'!J24+Infrastructure!I20+Agriculture!I23</f>
        <v>3383.139999999999</v>
      </c>
      <c r="E34" s="223">
        <f>Speaker!I24+'Executive Mayor'!J24+'Office of the MM'!J23+IDP!J21+LED!J21+Finance!J25+'Corporate Services'!J22+'Community Services'!K24+Infrastructure!J20+Agriculture!J23</f>
        <v>5771.9199999999992</v>
      </c>
      <c r="F34" s="223">
        <f>Speaker!J24+'Executive Mayor'!K24+'Office of the MM'!K23+IDP!K21+LED!K21+Finance!K25+'Corporate Services'!K22+'Community Services'!L24+Infrastructure!K20+Agriculture!K23</f>
        <v>17216.920000000002</v>
      </c>
      <c r="G34" s="217">
        <f>Infrastructure!L20</f>
        <v>210</v>
      </c>
      <c r="H34" s="223">
        <f>F34+G34</f>
        <v>17426.920000000002</v>
      </c>
      <c r="I34" s="225">
        <f>Speaker!K24+'Executive Mayor'!L24+'Office of the MM'!L23+IDP!L21+LED!L21+Finance!L25+'Corporate Services'!L22+'Community Services'!M24+Infrastructure!N20+Agriculture!L23</f>
        <v>16665.2</v>
      </c>
      <c r="J34" s="223">
        <f>Speaker!L24+'Executive Mayor'!M24+'Office of the MM'!M23+IDP!M21+LED!M21+Finance!M25+'Corporate Services'!M22+'Community Services'!N24+Infrastructure!O20+Agriculture!M23</f>
        <v>14419.2</v>
      </c>
      <c r="K34" s="223">
        <f>Speaker!M24+'Executive Mayor'!N24+'Office of the MM'!N23+IDP!N21+LED!N21+Finance!N25+'Corporate Services'!N22+'Community Services'!O24+Infrastructure!P20+Agriculture!N23</f>
        <v>14419.2</v>
      </c>
      <c r="M34" s="226"/>
    </row>
    <row r="35" spans="1:13" x14ac:dyDescent="0.25">
      <c r="A35" s="222" t="s">
        <v>15</v>
      </c>
      <c r="B35" s="223">
        <f>Speaker!F25+'Chief Whip'!F21+'Executive Mayor'!G25+'Office of the MM'!G24+IDP!G22+LED!G22+Finance!G26+'Corporate Services'!G23+'Community Services'!H25+Agriculture!G24+Infrastructure!G21</f>
        <v>5171267.93</v>
      </c>
      <c r="C35" s="223">
        <f>Speaker!G25+'Chief Whip'!G21+'Executive Mayor'!H25+'Office of the MM'!H24+IDP!H22+LED!H22+Finance!H26+'Corporate Services'!H23+'Community Services'!I25+Agriculture!H24+Infrastructure!H21</f>
        <v>2285718.6</v>
      </c>
      <c r="D35" s="223">
        <f>Speaker!H25+'Chief Whip'!H21+'Executive Mayor'!I25+'Office of the MM'!I24+IDP!I22+LED!I22+Finance!I26+'Corporate Services'!I23+'Community Services'!J25+Agriculture!I24+Infrastructure!I21</f>
        <v>2885549.3299999996</v>
      </c>
      <c r="E35" s="223">
        <f>Speaker!I25+'Chief Whip'!I21+'Executive Mayor'!J25+'Office of the MM'!J24+IDP!J22+LED!J22+Finance!J26+'Corporate Services'!J23+'Community Services'!K25+Agriculture!J24+Infrastructure!J21</f>
        <v>109611.85700000016</v>
      </c>
      <c r="F35" s="223">
        <f>Speaker!J25+'Chief Whip'!J21+'Executive Mayor'!K25+'Office of the MM'!K24+IDP!K22+LED!K22+Finance!K26+'Corporate Services'!K23+'Community Services'!L25+Agriculture!K24+Infrastructure!K21</f>
        <v>5280879.7870000005</v>
      </c>
      <c r="G35" s="217">
        <f>Infrastructure!L21</f>
        <v>59140</v>
      </c>
      <c r="H35" s="223">
        <f t="shared" ref="H35:H39" si="2">F35+G35</f>
        <v>5340019.7870000005</v>
      </c>
      <c r="I35" s="225">
        <f>Speaker!K25+'Chief Whip'!K21+'Executive Mayor'!L25+'Office of the MM'!L24+IDP!L22+LED!L22+Finance!L26+'Corporate Services'!L23+'Community Services'!M25+Agriculture!L24+Infrastructure!N21</f>
        <v>5787387.6799999997</v>
      </c>
      <c r="J35" s="223">
        <f>Speaker!L25+'Chief Whip'!L21+'Executive Mayor'!M25+'Office of the MM'!M24+IDP!M22+LED!M22+Finance!M26+'Corporate Services'!M23+'Community Services'!N25+Agriculture!M24+Infrastructure!O21</f>
        <v>5770951.466</v>
      </c>
      <c r="K35" s="223">
        <f>Speaker!M25+'Chief Whip'!M21+'Executive Mayor'!N25+'Office of the MM'!N24+IDP!N22+LED!N22+Finance!N26+'Corporate Services'!N23+'Community Services'!O25+Agriculture!N24+Infrastructure!P21</f>
        <v>6809784.4215399995</v>
      </c>
      <c r="M35" s="226"/>
    </row>
    <row r="36" spans="1:13" x14ac:dyDescent="0.25">
      <c r="A36" s="222" t="s">
        <v>17</v>
      </c>
      <c r="B36" s="223">
        <f>Speaker!F26+'Executive Mayor'!G26+'Office of the MM'!G25+IDP!G23+LED!G23+Finance!G27+'Corporate Services'!G24+'Community Services'!H26+Infrastructure!G22+Agriculture!G25</f>
        <v>7797708</v>
      </c>
      <c r="C36" s="223">
        <f>Speaker!G26+'Executive Mayor'!H26+'Office of the MM'!H25+IDP!H23+LED!H23+Finance!H27+'Corporate Services'!H24+'Community Services'!I26+Infrastructure!H22+Agriculture!H25</f>
        <v>3567836.1700000004</v>
      </c>
      <c r="D36" s="223">
        <f>Speaker!H26+'Executive Mayor'!I26+'Office of the MM'!I25+IDP!I23+LED!I23+Finance!I27+'Corporate Services'!I24+'Community Services'!J26+Infrastructure!I22+Agriculture!I25</f>
        <v>4229871.8299999991</v>
      </c>
      <c r="E36" s="223">
        <f>Speaker!I26+'Executive Mayor'!J26+'Office of the MM'!J25+IDP!J23+LED!J23+Finance!J27+'Corporate Services'!J24+'Community Services'!K26+Infrastructure!J22+Agriculture!J25</f>
        <v>220846.35852000013</v>
      </c>
      <c r="F36" s="223">
        <f>Speaker!J26+'Executive Mayor'!K26+'Office of the MM'!K25+IDP!K23+LED!K23+Finance!K27+'Corporate Services'!K24+'Community Services'!L26+Infrastructure!K22+Agriculture!K25</f>
        <v>8018554.3585200002</v>
      </c>
      <c r="G36" s="217">
        <f>Infrastructure!L22</f>
        <v>106452</v>
      </c>
      <c r="H36" s="223">
        <f t="shared" si="2"/>
        <v>8125006.3585200002</v>
      </c>
      <c r="I36" s="225">
        <f>Speaker!K26+'Executive Mayor'!L26+'Office of the MM'!L25+IDP!L23+LED!L23+Finance!L27+'Corporate Services'!L24+'Community Services'!M26+Infrastructure!N22+Agriculture!L25</f>
        <v>9072995.6600000001</v>
      </c>
      <c r="J36" s="223">
        <f>Speaker!L26+'Executive Mayor'!M26+'Office of the MM'!M25+IDP!M23+LED!M23+Finance!M27+'Corporate Services'!M24+'Community Services'!N26+Infrastructure!O22+Agriculture!M25</f>
        <v>9049363.6079999991</v>
      </c>
      <c r="K36" s="223">
        <f>Speaker!M26+'Executive Mayor'!N26+'Office of the MM'!N25+IDP!N23+LED!N23+Finance!N27+'Corporate Services'!N24+'Community Services'!O26+Infrastructure!P22+Agriculture!N25</f>
        <v>10349191.083939999</v>
      </c>
      <c r="M36" s="226"/>
    </row>
    <row r="37" spans="1:13" x14ac:dyDescent="0.25">
      <c r="A37" s="222" t="s">
        <v>19</v>
      </c>
      <c r="B37" s="223">
        <f>Speaker!F27+'Chief Whip'!F22+'Executive Mayor'!G27+'Office of the MM'!G26+IDP!G24+LED!G24+Finance!G28+'Corporate Services'!G25+'Community Services'!H27+Agriculture!G26+Infrastructure!G23</f>
        <v>250247</v>
      </c>
      <c r="C37" s="223">
        <f>Speaker!G27+'Chief Whip'!G22+'Executive Mayor'!H27+'Office of the MM'!H26+IDP!H24+LED!H24+Finance!H28+'Corporate Services'!H25+'Community Services'!I27+Agriculture!H26+Infrastructure!H23</f>
        <v>111468.54999999999</v>
      </c>
      <c r="D37" s="223">
        <f>Speaker!H27+'Chief Whip'!H22+'Executive Mayor'!I27+'Office of the MM'!I26+IDP!I24+LED!I24+Finance!I28+'Corporate Services'!I25+'Community Services'!J27+Agriculture!I26+Infrastructure!I23</f>
        <v>138778.45000000001</v>
      </c>
      <c r="E37" s="223">
        <f>Speaker!I27+'Chief Whip'!I22+'Executive Mayor'!J27+'Office of the MM'!J26+IDP!J24+LED!J24+Finance!J28+'Corporate Services'!J25+'Community Services'!K27+Agriculture!J26+Infrastructure!J23</f>
        <v>-4291.5200000000295</v>
      </c>
      <c r="F37" s="223">
        <f>Speaker!J27+'Chief Whip'!J22+'Executive Mayor'!K27+'Office of the MM'!K26+IDP!K24+LED!K24+Finance!K28+'Corporate Services'!K25+'Community Services'!L27+Agriculture!K26+Infrastructure!K23</f>
        <v>245955.47999999998</v>
      </c>
      <c r="G37" s="217">
        <f>Infrastructure!L23</f>
        <v>3129</v>
      </c>
      <c r="H37" s="223">
        <f t="shared" si="2"/>
        <v>249084.47999999998</v>
      </c>
      <c r="I37" s="225">
        <f>Speaker!K27+'Chief Whip'!K22+'Executive Mayor'!L27+'Office of the MM'!L26+IDP!L24+Finance!L28+Finance!L30+LED!L24+'Community Services'!M27+'Corporate Services'!L25+Agriculture!L26+Infrastructure!N23</f>
        <v>268759.32</v>
      </c>
      <c r="J37" s="223">
        <f>Speaker!L27+'Chief Whip'!L22+'Executive Mayor'!M27+'Office of the MM'!M26+IDP!M24+LED!M24+Finance!M28+'Corporate Services'!M25+'Community Services'!N27+Agriculture!M26+Infrastructure!O23</f>
        <v>251370.92</v>
      </c>
      <c r="K37" s="223">
        <f>Speaker!M27+'Chief Whip'!M22+'Executive Mayor'!N27+'Office of the MM'!N26+IDP!N24+LED!N24+Finance!N28+'Corporate Services'!N25+'Community Services'!O27+Agriculture!N26+Infrastructure!P23</f>
        <v>262254.315</v>
      </c>
      <c r="M37" s="226"/>
    </row>
    <row r="38" spans="1:13" x14ac:dyDescent="0.25">
      <c r="A38" s="222" t="s">
        <v>525</v>
      </c>
      <c r="B38" s="224">
        <f>'Corporate Services'!G128</f>
        <v>0</v>
      </c>
      <c r="C38" s="224">
        <f>'Corporate Services'!H128</f>
        <v>0</v>
      </c>
      <c r="D38" s="224">
        <f>'Corporate Services'!I128</f>
        <v>0</v>
      </c>
      <c r="E38" s="224">
        <f>'Corporate Services'!J128</f>
        <v>0</v>
      </c>
      <c r="F38" s="223">
        <f>'Corporate Services'!K128</f>
        <v>0</v>
      </c>
      <c r="G38" s="217">
        <v>0</v>
      </c>
      <c r="H38" s="223">
        <f t="shared" si="2"/>
        <v>0</v>
      </c>
      <c r="I38" s="217">
        <f>'Corporate Services'!L128</f>
        <v>0</v>
      </c>
      <c r="J38" s="224">
        <f>'Corporate Services'!M128</f>
        <v>0</v>
      </c>
      <c r="K38" s="223">
        <f>'Corporate Services'!N128</f>
        <v>0</v>
      </c>
    </row>
    <row r="39" spans="1:13" x14ac:dyDescent="0.25">
      <c r="A39" s="222" t="s">
        <v>978</v>
      </c>
      <c r="B39" s="224">
        <f>'Corporate Services'!G129</f>
        <v>0</v>
      </c>
      <c r="C39" s="224">
        <f>'Corporate Services'!H129</f>
        <v>0</v>
      </c>
      <c r="D39" s="224">
        <f>'Corporate Services'!I129</f>
        <v>0</v>
      </c>
      <c r="E39" s="224">
        <f>'Corporate Services'!J129</f>
        <v>0</v>
      </c>
      <c r="F39" s="223">
        <f>'Corporate Services'!K129</f>
        <v>0</v>
      </c>
      <c r="G39" s="217">
        <v>0</v>
      </c>
      <c r="H39" s="223">
        <f t="shared" si="2"/>
        <v>0</v>
      </c>
      <c r="I39" s="217">
        <f>'Corporate Services'!L129</f>
        <v>0</v>
      </c>
      <c r="J39" s="224">
        <f>'Corporate Services'!M129</f>
        <v>0</v>
      </c>
      <c r="K39" s="223">
        <f>'Corporate Services'!N129</f>
        <v>0</v>
      </c>
    </row>
    <row r="40" spans="1:13" x14ac:dyDescent="0.25">
      <c r="A40" s="218" t="s">
        <v>554</v>
      </c>
      <c r="B40" s="228">
        <f t="shared" ref="B40:K40" si="3">SUM(B34:B37)</f>
        <v>13230667.93</v>
      </c>
      <c r="C40" s="228">
        <f t="shared" si="3"/>
        <v>5973085.1800000006</v>
      </c>
      <c r="D40" s="228">
        <f t="shared" si="3"/>
        <v>7257582.7499999991</v>
      </c>
      <c r="E40" s="228">
        <f t="shared" si="3"/>
        <v>331938.61552000028</v>
      </c>
      <c r="F40" s="228">
        <f t="shared" si="3"/>
        <v>13562606.54552</v>
      </c>
      <c r="G40" s="228">
        <f t="shared" si="3"/>
        <v>168931</v>
      </c>
      <c r="H40" s="228">
        <f t="shared" si="3"/>
        <v>13731537.54552</v>
      </c>
      <c r="I40" s="229">
        <f t="shared" si="3"/>
        <v>15145807.859999999</v>
      </c>
      <c r="J40" s="228">
        <f t="shared" si="3"/>
        <v>15086105.194</v>
      </c>
      <c r="K40" s="228">
        <f t="shared" si="3"/>
        <v>17435649.020479999</v>
      </c>
    </row>
    <row r="41" spans="1:13" x14ac:dyDescent="0.25">
      <c r="A41" s="222"/>
      <c r="B41" s="223"/>
      <c r="C41" s="224"/>
      <c r="D41" s="224"/>
      <c r="E41" s="224"/>
      <c r="F41" s="223"/>
      <c r="G41" s="217"/>
      <c r="H41" s="217"/>
      <c r="I41" s="217"/>
      <c r="J41" s="224"/>
      <c r="K41" s="223"/>
    </row>
    <row r="42" spans="1:13" x14ac:dyDescent="0.25">
      <c r="A42" s="218" t="s">
        <v>555</v>
      </c>
      <c r="B42" s="228">
        <f t="shared" ref="B42:K42" si="4">B31+B40</f>
        <v>88877359.030000001</v>
      </c>
      <c r="C42" s="228">
        <f t="shared" si="4"/>
        <v>40782331.619999997</v>
      </c>
      <c r="D42" s="228">
        <f t="shared" si="4"/>
        <v>48095027.410000004</v>
      </c>
      <c r="E42" s="228">
        <f t="shared" si="4"/>
        <v>3192417.9289049995</v>
      </c>
      <c r="F42" s="228">
        <f t="shared" si="4"/>
        <v>92069776.958905011</v>
      </c>
      <c r="G42" s="228">
        <f t="shared" si="4"/>
        <v>1028655</v>
      </c>
      <c r="H42" s="228">
        <f t="shared" si="4"/>
        <v>93098431.958905011</v>
      </c>
      <c r="I42" s="229">
        <f t="shared" si="4"/>
        <v>102484837.54971819</v>
      </c>
      <c r="J42" s="228">
        <f t="shared" si="4"/>
        <v>100730051.96823221</v>
      </c>
      <c r="K42" s="228">
        <f t="shared" si="4"/>
        <v>111357005.40910921</v>
      </c>
    </row>
    <row r="43" spans="1:13" x14ac:dyDescent="0.25">
      <c r="A43" s="218"/>
      <c r="B43" s="230"/>
      <c r="C43" s="230"/>
      <c r="D43" s="230"/>
      <c r="E43" s="230"/>
      <c r="F43" s="231"/>
      <c r="G43" s="247"/>
      <c r="H43" s="914"/>
      <c r="I43" s="217"/>
      <c r="J43" s="230"/>
      <c r="K43" s="223"/>
    </row>
    <row r="44" spans="1:13" x14ac:dyDescent="0.25">
      <c r="A44" s="218" t="s">
        <v>556</v>
      </c>
      <c r="B44" s="223"/>
      <c r="C44" s="224"/>
      <c r="D44" s="224"/>
      <c r="E44" s="224"/>
      <c r="F44" s="223"/>
      <c r="G44" s="217"/>
      <c r="H44" s="223"/>
      <c r="I44" s="217"/>
      <c r="J44" s="224"/>
      <c r="K44" s="223"/>
    </row>
    <row r="45" spans="1:13" x14ac:dyDescent="0.25">
      <c r="A45" s="222" t="s">
        <v>375</v>
      </c>
      <c r="B45" s="223">
        <f>'MAYCO &amp; COUNCIL'!G11</f>
        <v>7940006.8299999991</v>
      </c>
      <c r="C45" s="223">
        <f>'MAYCO &amp; COUNCIL'!H11</f>
        <v>3218756.66</v>
      </c>
      <c r="D45" s="223">
        <f>'MAYCO &amp; COUNCIL'!I11</f>
        <v>4721250.169999999</v>
      </c>
      <c r="E45" s="223">
        <f>'MAYCO &amp; COUNCIL'!J11</f>
        <v>-1396114</v>
      </c>
      <c r="F45" s="223">
        <f>'MAYCO &amp; COUNCIL'!K11</f>
        <v>6543892.8299999991</v>
      </c>
      <c r="G45" s="217">
        <v>0</v>
      </c>
      <c r="H45" s="223">
        <f>F45+G45</f>
        <v>6543892.8299999991</v>
      </c>
      <c r="I45" s="225">
        <f>'MAYCO &amp; COUNCIL'!L11</f>
        <v>6246038</v>
      </c>
      <c r="J45" s="223">
        <f>'MAYCO &amp; COUNCIL'!M11</f>
        <v>6520863.6720000003</v>
      </c>
      <c r="K45" s="223">
        <f>'MAYCO &amp; COUNCIL'!N11</f>
        <v>6814302.5372399995</v>
      </c>
    </row>
    <row r="46" spans="1:13" x14ac:dyDescent="0.25">
      <c r="A46" s="222" t="s">
        <v>11</v>
      </c>
      <c r="B46" s="223">
        <v>0</v>
      </c>
      <c r="C46" s="224">
        <v>0</v>
      </c>
      <c r="D46" s="224">
        <v>0</v>
      </c>
      <c r="E46" s="224">
        <v>0</v>
      </c>
      <c r="F46" s="223">
        <v>0</v>
      </c>
      <c r="G46" s="217">
        <v>0</v>
      </c>
      <c r="H46" s="223">
        <f t="shared" ref="H46:H53" si="5">F46+G46</f>
        <v>0</v>
      </c>
      <c r="I46" s="217">
        <v>0</v>
      </c>
      <c r="J46" s="224">
        <v>0</v>
      </c>
      <c r="K46" s="223">
        <v>0</v>
      </c>
    </row>
    <row r="47" spans="1:13" x14ac:dyDescent="0.25">
      <c r="A47" s="222" t="s">
        <v>52</v>
      </c>
      <c r="B47" s="223">
        <f>'MAYCO &amp; COUNCIL'!G10</f>
        <v>799200</v>
      </c>
      <c r="C47" s="223">
        <f>'MAYCO &amp; COUNCIL'!H10</f>
        <v>324602.46999999997</v>
      </c>
      <c r="D47" s="223">
        <f>'MAYCO &amp; COUNCIL'!I10</f>
        <v>474597.53</v>
      </c>
      <c r="E47" s="223">
        <f>'MAYCO &amp; COUNCIL'!J10</f>
        <v>-44400</v>
      </c>
      <c r="F47" s="223">
        <f>'MAYCO &amp; COUNCIL'!K10</f>
        <v>754800</v>
      </c>
      <c r="G47" s="217">
        <v>0</v>
      </c>
      <c r="H47" s="223">
        <f t="shared" si="5"/>
        <v>754800</v>
      </c>
      <c r="I47" s="225">
        <f>'MAYCO &amp; COUNCIL'!L10</f>
        <v>621600</v>
      </c>
      <c r="J47" s="223">
        <f>'MAYCO &amp; COUNCIL'!M10</f>
        <v>621600</v>
      </c>
      <c r="K47" s="223">
        <f>'MAYCO &amp; COUNCIL'!N10</f>
        <v>621600</v>
      </c>
    </row>
    <row r="48" spans="1:13" x14ac:dyDescent="0.25">
      <c r="A48" s="222" t="s">
        <v>76</v>
      </c>
      <c r="B48" s="223"/>
      <c r="C48" s="224"/>
      <c r="D48" s="224"/>
      <c r="E48" s="224"/>
      <c r="F48" s="223"/>
      <c r="G48" s="217">
        <v>0</v>
      </c>
      <c r="H48" s="223">
        <f t="shared" si="5"/>
        <v>0</v>
      </c>
      <c r="I48" s="217"/>
      <c r="J48" s="224"/>
      <c r="K48" s="223"/>
    </row>
    <row r="49" spans="1:13" x14ac:dyDescent="0.25">
      <c r="A49" s="222" t="s">
        <v>60</v>
      </c>
      <c r="B49" s="223">
        <f>'MAYCO &amp; COUNCIL'!G12</f>
        <v>2490698.0729999999</v>
      </c>
      <c r="C49" s="223">
        <f>'MAYCO &amp; COUNCIL'!H12</f>
        <v>966386.04</v>
      </c>
      <c r="D49" s="223">
        <f>'MAYCO &amp; COUNCIL'!I12</f>
        <v>1524312.0329999998</v>
      </c>
      <c r="E49" s="223">
        <f>'MAYCO &amp; COUNCIL'!J12</f>
        <v>-436025</v>
      </c>
      <c r="F49" s="223">
        <f>'MAYCO &amp; COUNCIL'!K12</f>
        <v>2054673.0729999999</v>
      </c>
      <c r="G49" s="217">
        <v>0</v>
      </c>
      <c r="H49" s="223">
        <f t="shared" si="5"/>
        <v>2054673.0729999999</v>
      </c>
      <c r="I49" s="225">
        <f>'MAYCO &amp; COUNCIL'!L12</f>
        <v>2041523</v>
      </c>
      <c r="J49" s="223">
        <f>'MAYCO &amp; COUNCIL'!M12</f>
        <v>2041523</v>
      </c>
      <c r="K49" s="223">
        <f>'MAYCO &amp; COUNCIL'!N12</f>
        <v>2041523</v>
      </c>
    </row>
    <row r="50" spans="1:13" x14ac:dyDescent="0.25">
      <c r="A50" s="222" t="s">
        <v>448</v>
      </c>
      <c r="B50" s="223">
        <f>'MAYCO &amp; COUNCIL'!G14</f>
        <v>411542</v>
      </c>
      <c r="C50" s="223">
        <f>'MAYCO &amp; COUNCIL'!H14</f>
        <v>8520.9699999999993</v>
      </c>
      <c r="D50" s="223">
        <f>'MAYCO &amp; COUNCIL'!I14</f>
        <v>403021.03</v>
      </c>
      <c r="E50" s="223">
        <f>'MAYCO &amp; COUNCIL'!J14</f>
        <v>0</v>
      </c>
      <c r="F50" s="223">
        <f>'MAYCO &amp; COUNCIL'!K14</f>
        <v>411542</v>
      </c>
      <c r="G50" s="217">
        <v>0</v>
      </c>
      <c r="H50" s="223">
        <f t="shared" si="5"/>
        <v>411542</v>
      </c>
      <c r="I50" s="225">
        <f>'MAYCO &amp; COUNCIL'!L14</f>
        <v>52925.52</v>
      </c>
      <c r="J50" s="223">
        <f>'MAYCO &amp; COUNCIL'!M14</f>
        <v>55254.242879999998</v>
      </c>
      <c r="K50" s="223">
        <f>'MAYCO &amp; COUNCIL'!N14</f>
        <v>57740.683809599992</v>
      </c>
    </row>
    <row r="51" spans="1:13" x14ac:dyDescent="0.25">
      <c r="A51" s="222" t="s">
        <v>56</v>
      </c>
      <c r="B51" s="223">
        <f>'MAYCO &amp; COUNCIL'!G18</f>
        <v>438239</v>
      </c>
      <c r="C51" s="223">
        <f>'MAYCO &amp; COUNCIL'!H18</f>
        <v>178567.2</v>
      </c>
      <c r="D51" s="223">
        <f>'MAYCO &amp; COUNCIL'!I18</f>
        <v>259671.8</v>
      </c>
      <c r="E51" s="223">
        <f>'MAYCO &amp; COUNCIL'!J18</f>
        <v>0</v>
      </c>
      <c r="F51" s="223">
        <f>'MAYCO &amp; COUNCIL'!K18</f>
        <v>438239</v>
      </c>
      <c r="G51" s="217">
        <v>0</v>
      </c>
      <c r="H51" s="223">
        <f t="shared" si="5"/>
        <v>438239</v>
      </c>
      <c r="I51" s="225">
        <f>'MAYCO &amp; COUNCIL'!L18</f>
        <v>37351</v>
      </c>
      <c r="J51" s="223">
        <f>'MAYCO &amp; COUNCIL'!M18</f>
        <v>37351</v>
      </c>
      <c r="K51" s="223">
        <f>'MAYCO &amp; COUNCIL'!N18</f>
        <v>37351</v>
      </c>
    </row>
    <row r="52" spans="1:13" x14ac:dyDescent="0.25">
      <c r="A52" s="222" t="s">
        <v>58</v>
      </c>
      <c r="B52" s="223">
        <f>'MAYCO &amp; COUNCIL'!G19</f>
        <v>448701</v>
      </c>
      <c r="C52" s="223">
        <f>'MAYCO &amp; COUNCIL'!H19</f>
        <v>189209.51</v>
      </c>
      <c r="D52" s="223">
        <f>'MAYCO &amp; COUNCIL'!I19</f>
        <v>259491.49</v>
      </c>
      <c r="E52" s="223">
        <f>'MAYCO &amp; COUNCIL'!J19</f>
        <v>0</v>
      </c>
      <c r="F52" s="223">
        <f>'MAYCO &amp; COUNCIL'!K19</f>
        <v>448701</v>
      </c>
      <c r="G52" s="217">
        <v>0</v>
      </c>
      <c r="H52" s="223">
        <f t="shared" si="5"/>
        <v>448701</v>
      </c>
      <c r="I52" s="225">
        <f>'MAYCO &amp; COUNCIL'!L19</f>
        <v>111039</v>
      </c>
      <c r="J52" s="223">
        <f>'MAYCO &amp; COUNCIL'!M19</f>
        <v>111039</v>
      </c>
      <c r="K52" s="223">
        <f>'MAYCO &amp; COUNCIL'!N19</f>
        <v>111039</v>
      </c>
    </row>
    <row r="53" spans="1:13" x14ac:dyDescent="0.25">
      <c r="A53" s="222" t="s">
        <v>19</v>
      </c>
      <c r="B53" s="223">
        <f>'MAYCO &amp; COUNCIL'!G20</f>
        <v>0</v>
      </c>
      <c r="C53" s="223">
        <f>'MAYCO &amp; COUNCIL'!H20</f>
        <v>3080.03</v>
      </c>
      <c r="D53" s="223">
        <f>'MAYCO &amp; COUNCIL'!I20</f>
        <v>-3080.03</v>
      </c>
      <c r="E53" s="223">
        <f>'MAYCO &amp; COUNCIL'!J20</f>
        <v>6160.06</v>
      </c>
      <c r="F53" s="223">
        <f>'MAYCO &amp; COUNCIL'!K20</f>
        <v>6160.06</v>
      </c>
      <c r="G53" s="217">
        <v>0</v>
      </c>
      <c r="H53" s="223">
        <f t="shared" si="5"/>
        <v>6160.06</v>
      </c>
      <c r="I53" s="225">
        <f>'MAYCO &amp; COUNCIL'!L20</f>
        <v>0</v>
      </c>
      <c r="J53" s="223">
        <f>'MAYCO &amp; COUNCIL'!M20</f>
        <v>0</v>
      </c>
      <c r="K53" s="223">
        <f>'MAYCO &amp; COUNCIL'!N20</f>
        <v>0</v>
      </c>
    </row>
    <row r="54" spans="1:13" x14ac:dyDescent="0.25">
      <c r="A54" s="218" t="s">
        <v>557</v>
      </c>
      <c r="B54" s="228">
        <f t="shared" ref="B54:K54" si="6">SUM(B45:B53)</f>
        <v>12528386.902999997</v>
      </c>
      <c r="C54" s="228">
        <f t="shared" si="6"/>
        <v>4889122.88</v>
      </c>
      <c r="D54" s="228">
        <f t="shared" si="6"/>
        <v>7639264.0229999991</v>
      </c>
      <c r="E54" s="228">
        <f t="shared" si="6"/>
        <v>-1870378.94</v>
      </c>
      <c r="F54" s="228">
        <f t="shared" si="6"/>
        <v>10658007.963</v>
      </c>
      <c r="G54" s="228">
        <f t="shared" si="6"/>
        <v>0</v>
      </c>
      <c r="H54" s="228">
        <f t="shared" si="6"/>
        <v>10658007.963</v>
      </c>
      <c r="I54" s="229">
        <f t="shared" si="6"/>
        <v>9110476.5199999996</v>
      </c>
      <c r="J54" s="228">
        <f t="shared" si="6"/>
        <v>9387630.9148800001</v>
      </c>
      <c r="K54" s="228">
        <f t="shared" si="6"/>
        <v>9683556.2210495993</v>
      </c>
      <c r="L54" s="204"/>
    </row>
    <row r="55" spans="1:13" x14ac:dyDescent="0.25">
      <c r="A55" s="222"/>
      <c r="B55" s="223"/>
      <c r="C55" s="224"/>
      <c r="D55" s="224"/>
      <c r="E55" s="224"/>
      <c r="F55" s="223"/>
      <c r="G55" s="217"/>
      <c r="H55" s="217"/>
      <c r="I55" s="217"/>
      <c r="J55" s="224"/>
      <c r="K55" s="223"/>
      <c r="L55" s="204"/>
    </row>
    <row r="56" spans="1:13" x14ac:dyDescent="0.25">
      <c r="A56" s="218" t="s">
        <v>558</v>
      </c>
      <c r="B56" s="228">
        <f t="shared" ref="B56:K56" si="7">B42+B54</f>
        <v>101405745.933</v>
      </c>
      <c r="C56" s="228">
        <f t="shared" si="7"/>
        <v>45671454.5</v>
      </c>
      <c r="D56" s="228">
        <f t="shared" si="7"/>
        <v>55734291.433000006</v>
      </c>
      <c r="E56" s="228">
        <f t="shared" si="7"/>
        <v>1322038.9889049996</v>
      </c>
      <c r="F56" s="228">
        <f t="shared" si="7"/>
        <v>102727784.92190501</v>
      </c>
      <c r="G56" s="228">
        <f t="shared" si="7"/>
        <v>1028655</v>
      </c>
      <c r="H56" s="228">
        <f t="shared" si="7"/>
        <v>103756439.92190501</v>
      </c>
      <c r="I56" s="229">
        <f t="shared" si="7"/>
        <v>111595314.06971818</v>
      </c>
      <c r="J56" s="228">
        <f t="shared" si="7"/>
        <v>110117682.88311222</v>
      </c>
      <c r="K56" s="228">
        <f t="shared" si="7"/>
        <v>121040561.63015881</v>
      </c>
      <c r="L56" s="205"/>
    </row>
    <row r="57" spans="1:13" x14ac:dyDescent="0.25">
      <c r="A57" s="222"/>
      <c r="B57" s="223"/>
      <c r="C57" s="224"/>
      <c r="D57" s="224"/>
      <c r="E57" s="224"/>
      <c r="F57" s="223"/>
      <c r="G57" s="217"/>
      <c r="H57" s="219"/>
      <c r="I57" s="217"/>
      <c r="J57" s="224"/>
      <c r="K57" s="223"/>
    </row>
    <row r="58" spans="1:13" x14ac:dyDescent="0.25">
      <c r="A58" s="218" t="s">
        <v>559</v>
      </c>
      <c r="B58" s="223"/>
      <c r="C58" s="224"/>
      <c r="D58" s="224"/>
      <c r="E58" s="224"/>
      <c r="F58" s="223"/>
      <c r="G58" s="217"/>
      <c r="H58" s="223"/>
      <c r="I58" s="217"/>
      <c r="J58" s="224"/>
      <c r="K58" s="223"/>
    </row>
    <row r="59" spans="1:13" x14ac:dyDescent="0.25">
      <c r="A59" s="222" t="s">
        <v>560</v>
      </c>
      <c r="B59" s="223">
        <f>'Chief Whip'!F27+'MAYCO &amp; COUNCIL'!G26</f>
        <v>4925.45</v>
      </c>
      <c r="C59" s="223">
        <f>'Chief Whip'!G27+'MAYCO &amp; COUNCIL'!H26</f>
        <v>12908.800000000001</v>
      </c>
      <c r="D59" s="223">
        <f>'Chief Whip'!H27+'MAYCO &amp; COUNCIL'!I26</f>
        <v>-7983.35</v>
      </c>
      <c r="E59" s="223">
        <f>'Chief Whip'!I27+'MAYCO &amp; COUNCIL'!J26</f>
        <v>13966</v>
      </c>
      <c r="F59" s="223">
        <f>'Chief Whip'!J27+'MAYCO &amp; COUNCIL'!K26</f>
        <v>18891.45</v>
      </c>
      <c r="G59" s="217">
        <v>0</v>
      </c>
      <c r="H59" s="223">
        <f>F59+G59</f>
        <v>18891.45</v>
      </c>
      <c r="I59" s="225">
        <f>'Chief Whip'!K27+'MAYCO &amp; COUNCIL'!L26</f>
        <v>19798.239600000001</v>
      </c>
      <c r="J59" s="223">
        <f>'Chief Whip'!L27+'MAYCO &amp; COUNCIL'!M26</f>
        <v>20669.362142400001</v>
      </c>
      <c r="K59" s="223">
        <f>'Chief Whip'!M27+'MAYCO &amp; COUNCIL'!N26</f>
        <v>21599.483438807998</v>
      </c>
    </row>
    <row r="60" spans="1:13" x14ac:dyDescent="0.25">
      <c r="A60" s="222" t="s">
        <v>561</v>
      </c>
      <c r="B60" s="223">
        <f>Speaker!F34+'Chief Whip'!F28+'MAYCO &amp; COUNCIL'!G28+'Executive Mayor'!G34+'Office of the MM'!G31+IDP!G31+Finance!G37+LED!G32+'Community Services'!H35+'Corporate Services'!G33+Agriculture!G31+Infrastructure!G29</f>
        <v>222351.27000000002</v>
      </c>
      <c r="C60" s="223">
        <f>Speaker!G34+'Chief Whip'!G28+'MAYCO &amp; COUNCIL'!H28+'Executive Mayor'!H34+'Office of the MM'!H31+IDP!H31+Finance!H37+LED!H32+'Community Services'!I35+'Corporate Services'!H33+Agriculture!H31+Infrastructure!H29</f>
        <v>268297.44999999995</v>
      </c>
      <c r="D60" s="223">
        <f>Speaker!H34+'Chief Whip'!H28+'MAYCO &amp; COUNCIL'!I28+'Executive Mayor'!I34+'Office of the MM'!I31+IDP!I31+Finance!I37+LED!I32+'Community Services'!J35+'Corporate Services'!I33+Agriculture!I31+Infrastructure!I29</f>
        <v>-45946.18</v>
      </c>
      <c r="E60" s="223">
        <f>Speaker!I34+'Chief Whip'!I28+'MAYCO &amp; COUNCIL'!J28+'Executive Mayor'!J34+'Office of the MM'!J31+IDP!J31+Finance!J37+LED!J32+'Community Services'!K35+'Corporate Services'!J33+Agriculture!J31+Infrastructure!J29</f>
        <v>157597</v>
      </c>
      <c r="F60" s="223">
        <f>Speaker!J34+'Chief Whip'!J28+'MAYCO &amp; COUNCIL'!K28+'Executive Mayor'!K34+'Office of the MM'!K31+IDP!K31+Finance!K37+LED!K32+'Community Services'!L35+'Corporate Services'!K33+Agriculture!K31+Infrastructure!K29</f>
        <v>379948.27</v>
      </c>
      <c r="G60" s="217">
        <v>0</v>
      </c>
      <c r="H60" s="223">
        <f t="shared" ref="H60:H66" si="8">F60+G60</f>
        <v>379948.27</v>
      </c>
      <c r="I60" s="225">
        <f>Speaker!K34+'Chief Whip'!K28+'MAYCO &amp; COUNCIL'!L28+'Executive Mayor'!L34+'Office of the MM'!L31+IDP!L31+Finance!L37+LED!L32+'Community Services'!M35+'Corporate Services'!L33+Agriculture!L31+Infrastructure!N29</f>
        <v>398185.78696</v>
      </c>
      <c r="J60" s="223">
        <f>Speaker!L34+'Chief Whip'!L28+'MAYCO &amp; COUNCIL'!M28+'Executive Mayor'!M34+'Office of the MM'!M31+IDP!M31+Finance!M37+LED!M32+'Community Services'!N35+'Corporate Services'!M33+Agriculture!M31+Infrastructure!O29</f>
        <v>415705.96158623998</v>
      </c>
      <c r="K60" s="223">
        <f>Speaker!M34+'Chief Whip'!M28+'MAYCO &amp; COUNCIL'!N28+'Executive Mayor'!N34+'Office of the MM'!N31+IDP!N31+Finance!N37+LED!N32+'Community Services'!O35+'Corporate Services'!N33+Agriculture!N31+Infrastructure!P29</f>
        <v>434412.72985762078</v>
      </c>
    </row>
    <row r="61" spans="1:13" hidden="1" x14ac:dyDescent="0.25">
      <c r="A61" s="222" t="s">
        <v>562</v>
      </c>
      <c r="B61" s="223">
        <f>Speaker!F33+'Executive Mayor'!G33+'Office of the MM'!G30+IDP!G30+LED!G31+Finance!G36+'Corporate Services'!G32+'Community Services'!H34</f>
        <v>0</v>
      </c>
      <c r="C61" s="223"/>
      <c r="D61" s="223"/>
      <c r="E61" s="223"/>
      <c r="F61" s="223">
        <f t="shared" ref="F61:F66" si="9">SUM(B61+E61)</f>
        <v>0</v>
      </c>
      <c r="G61" s="217"/>
      <c r="H61" s="223">
        <f t="shared" si="8"/>
        <v>0</v>
      </c>
      <c r="I61" s="225">
        <f>SUM(C61+F61)</f>
        <v>0</v>
      </c>
      <c r="J61" s="223">
        <f>SUM(D61+I61)</f>
        <v>0</v>
      </c>
      <c r="K61" s="223">
        <f>SUM(E61+J61)</f>
        <v>0</v>
      </c>
    </row>
    <row r="62" spans="1:13" x14ac:dyDescent="0.25">
      <c r="A62" s="222" t="s">
        <v>563</v>
      </c>
      <c r="B62" s="223">
        <f>'Office of the MM'!G34+'Corporate Services'!G35+'Community Services'!H38+Speaker!F37+'Executive Mayor'!G36</f>
        <v>1314735.2</v>
      </c>
      <c r="C62" s="223">
        <f>'Office of the MM'!H34+'Corporate Services'!H35+'Community Services'!I38+Speaker!G37+'Executive Mayor'!H36</f>
        <v>329984.20999999996</v>
      </c>
      <c r="D62" s="223">
        <f>'Office of the MM'!I34+'Corporate Services'!I35+'Community Services'!J38+Speaker!H37+'Executive Mayor'!I36</f>
        <v>984750.99</v>
      </c>
      <c r="E62" s="223">
        <f>'Office of the MM'!J34+'Corporate Services'!J35+'Community Services'!K38+Speaker!I37+'Executive Mayor'!J36</f>
        <v>578372</v>
      </c>
      <c r="F62" s="223">
        <f t="shared" si="9"/>
        <v>1893107.2</v>
      </c>
      <c r="G62" s="217">
        <v>0</v>
      </c>
      <c r="H62" s="223">
        <f t="shared" si="8"/>
        <v>1893107.2</v>
      </c>
      <c r="I62" s="225">
        <f>'Office of the MM'!L34+'Corporate Services'!L35+'Community Services'!M38+Speaker!K37+'Executive Mayor'!L36</f>
        <v>1983976.3456000001</v>
      </c>
      <c r="J62" s="223">
        <f>'Office of the MM'!M34+'Corporate Services'!M35+'Community Services'!N38+Speaker!L37+'Executive Mayor'!M36</f>
        <v>2071271.3048064001</v>
      </c>
      <c r="K62" s="223">
        <f>'Office of the MM'!N34+'Corporate Services'!N35+'Community Services'!O38+Speaker!M37+'Executive Mayor'!N36</f>
        <v>2164478.5135226878</v>
      </c>
    </row>
    <row r="63" spans="1:13" x14ac:dyDescent="0.25">
      <c r="A63" s="222" t="s">
        <v>564</v>
      </c>
      <c r="B63" s="223">
        <f>Speaker!F35+'Executive Mayor'!G35+'Office of the MM'!G32+IDP!G32+Finance!G38+LED!G33+'Community Services'!H36+'Corporate Services'!G34+Agriculture!G32+Infrastructure!G30</f>
        <v>626328.52999999991</v>
      </c>
      <c r="C63" s="223">
        <f>Speaker!G35+'Executive Mayor'!H35+'Office of the MM'!H32+IDP!H32+Finance!H38+LED!H33+'Community Services'!I36+'Corporate Services'!H34+Agriculture!H32+Infrastructure!H30</f>
        <v>750541.71000000008</v>
      </c>
      <c r="D63" s="223">
        <f>Speaker!H35+'Executive Mayor'!I35+'Office of the MM'!I32+IDP!I32+Finance!I38+LED!I33+'Community Services'!J36+'Corporate Services'!I34+Agriculture!I32+Infrastructure!I30</f>
        <v>-124213.18000000007</v>
      </c>
      <c r="E63" s="223">
        <f>Speaker!I35+'Executive Mayor'!J35+'Office of the MM'!J32+IDP!J32+Finance!J38+LED!J33+'Community Services'!K36+'Corporate Services'!J34+Agriculture!J32+Infrastructure!J30</f>
        <v>324446</v>
      </c>
      <c r="F63" s="223">
        <f>Speaker!J35+'Executive Mayor'!K35+'Office of the MM'!K32+IDP!K32+Finance!K38+LED!K33+'Community Services'!L36+'Corporate Services'!K34+Agriculture!K32+Infrastructure!K30</f>
        <v>950774.53</v>
      </c>
      <c r="G63" s="217">
        <v>0</v>
      </c>
      <c r="H63" s="223">
        <f t="shared" si="8"/>
        <v>950774.53</v>
      </c>
      <c r="I63" s="225">
        <f>Speaker!K35+'Executive Mayor'!L35+'Office of the MM'!L32+IDP!L32+Finance!L38+LED!L33+'Community Services'!M36+'Corporate Services'!L34+Agriculture!L32+Infrastructure!N30</f>
        <v>996411.70744000003</v>
      </c>
      <c r="J63" s="223">
        <f>Speaker!L35+'Executive Mayor'!M35+'Office of the MM'!M32+IDP!M32+Finance!M38+LED!M33+'Community Services'!N36+'Corporate Services'!M34+Agriculture!M32+Infrastructure!O30</f>
        <v>1040253.8225673601</v>
      </c>
      <c r="K63" s="223">
        <f>Speaker!M35+'Executive Mayor'!N35+'Office of the MM'!N32+IDP!N32+Finance!N38+LED!N33+'Community Services'!O36+'Corporate Services'!N34+Agriculture!N32+Infrastructure!P30</f>
        <v>1087065.2445828912</v>
      </c>
      <c r="M63" s="226"/>
    </row>
    <row r="64" spans="1:13" hidden="1" x14ac:dyDescent="0.25">
      <c r="A64" s="222" t="s">
        <v>565</v>
      </c>
      <c r="B64" s="223">
        <f>'Executive Mayor'!G37+'Corporate Services'!G36</f>
        <v>0</v>
      </c>
      <c r="C64" s="223">
        <f>'Executive Mayor'!H37+'Corporate Services'!H36</f>
        <v>0</v>
      </c>
      <c r="D64" s="223">
        <f>'Executive Mayor'!I37+'Corporate Services'!I36</f>
        <v>0</v>
      </c>
      <c r="E64" s="223">
        <f>'Executive Mayor'!J37+'Corporate Services'!J36</f>
        <v>0</v>
      </c>
      <c r="F64" s="223">
        <f t="shared" si="9"/>
        <v>0</v>
      </c>
      <c r="G64" s="217"/>
      <c r="H64" s="223">
        <f t="shared" si="8"/>
        <v>0</v>
      </c>
      <c r="I64" s="225">
        <f>SUM(C64+F64)</f>
        <v>0</v>
      </c>
      <c r="J64" s="223">
        <f>SUM(D64+I64)</f>
        <v>0</v>
      </c>
      <c r="K64" s="223">
        <f>SUM(E64+J64)</f>
        <v>0</v>
      </c>
    </row>
    <row r="65" spans="1:14" x14ac:dyDescent="0.25">
      <c r="A65" s="222" t="s">
        <v>960</v>
      </c>
      <c r="B65" s="223">
        <f>Speaker!F36+'Office of the MM'!G33+IDP!G33+Finance!G39+LED!G34+'Community Services'!H37+'Corporate Services'!G37+Agriculture!G33+Infrastructure!G31</f>
        <v>50491.37</v>
      </c>
      <c r="C65" s="223">
        <f>Speaker!G36+'Office of the MM'!H33+IDP!H33+Finance!H39+LED!H34+'Community Services'!I37+'Corporate Services'!H37+Agriculture!H33+Infrastructure!H31</f>
        <v>240173.51</v>
      </c>
      <c r="D65" s="223">
        <f>Speaker!H36+'Office of the MM'!I33+IDP!I33+Finance!I39+LED!I34+'Community Services'!J37+'Corporate Services'!I37+Agriculture!I33+Infrastructure!I31</f>
        <v>-189682.14</v>
      </c>
      <c r="E65" s="223">
        <f>Speaker!I36+'Office of the MM'!J33+IDP!J33+Finance!J39+LED!J34+'Community Services'!K37+'Corporate Services'!J37+Agriculture!J33+Infrastructure!J31</f>
        <v>114998</v>
      </c>
      <c r="F65" s="223">
        <f>Speaker!J36+'Office of the MM'!K33+IDP!K33+Finance!K39+LED!K34+'Community Services'!L37+'Corporate Services'!K37+Agriculture!K33+Infrastructure!K31</f>
        <v>165489.37</v>
      </c>
      <c r="G65" s="217">
        <v>0</v>
      </c>
      <c r="H65" s="223">
        <f t="shared" si="8"/>
        <v>165489.37</v>
      </c>
      <c r="I65" s="225">
        <f>Speaker!K36+'Office of the MM'!L33+IDP!L33+Finance!L39+LED!L34+'Community Services'!M37+'Corporate Services'!L37+Agriculture!L33+Infrastructure!N31</f>
        <v>173432.85976000002</v>
      </c>
      <c r="J65" s="223">
        <f>Speaker!L36+'Office of the MM'!M33+IDP!M33+Finance!M39+LED!M34+'Community Services'!N37+'Corporate Services'!M37+Agriculture!M33+Infrastructure!O31</f>
        <v>181063.90558944002</v>
      </c>
      <c r="K65" s="223">
        <f>Speaker!M36+'Office of the MM'!N33+IDP!N33+Finance!N39+LED!N34+'Community Services'!O37+'Corporate Services'!N37+Agriculture!N33+Infrastructure!P31</f>
        <v>189211.78134096484</v>
      </c>
      <c r="M65" s="226"/>
    </row>
    <row r="66" spans="1:14" x14ac:dyDescent="0.25">
      <c r="A66" s="232" t="s">
        <v>997</v>
      </c>
      <c r="B66" s="223">
        <f>'Corporate Services'!G38</f>
        <v>845388.58399999992</v>
      </c>
      <c r="C66" s="223">
        <f>'Corporate Services'!H38</f>
        <v>0</v>
      </c>
      <c r="D66" s="223">
        <f>'Corporate Services'!I38</f>
        <v>845388.58399999992</v>
      </c>
      <c r="E66" s="223">
        <v>-320592</v>
      </c>
      <c r="F66" s="223">
        <f t="shared" si="9"/>
        <v>524796.58399999992</v>
      </c>
      <c r="G66" s="217">
        <v>0</v>
      </c>
      <c r="H66" s="223">
        <f t="shared" si="8"/>
        <v>524796.58399999992</v>
      </c>
      <c r="I66" s="225">
        <f>'Corporate Services'!L38</f>
        <v>549986.82003199996</v>
      </c>
      <c r="J66" s="223">
        <f>'Corporate Services'!M38</f>
        <v>574186.24011340796</v>
      </c>
      <c r="K66" s="223">
        <f>'Corporate Services'!N38</f>
        <v>600024.6209185113</v>
      </c>
    </row>
    <row r="67" spans="1:14" x14ac:dyDescent="0.25">
      <c r="A67" s="218" t="s">
        <v>566</v>
      </c>
      <c r="B67" s="228">
        <f t="shared" ref="B67:K67" si="10">SUM(B59:B66)</f>
        <v>3064220.4039999996</v>
      </c>
      <c r="C67" s="228">
        <f t="shared" si="10"/>
        <v>1601905.68</v>
      </c>
      <c r="D67" s="228">
        <f t="shared" si="10"/>
        <v>1462314.7239999999</v>
      </c>
      <c r="E67" s="228">
        <f t="shared" si="10"/>
        <v>868787</v>
      </c>
      <c r="F67" s="228">
        <f t="shared" si="10"/>
        <v>3933007.4040000001</v>
      </c>
      <c r="G67" s="228">
        <f t="shared" si="10"/>
        <v>0</v>
      </c>
      <c r="H67" s="228">
        <f t="shared" si="10"/>
        <v>3933007.4040000001</v>
      </c>
      <c r="I67" s="229">
        <f t="shared" si="10"/>
        <v>4121791.7593920003</v>
      </c>
      <c r="J67" s="228">
        <f t="shared" si="10"/>
        <v>4303150.5968052484</v>
      </c>
      <c r="K67" s="228">
        <f t="shared" si="10"/>
        <v>4496792.3736614846</v>
      </c>
    </row>
    <row r="68" spans="1:14" x14ac:dyDescent="0.25">
      <c r="A68" s="222"/>
      <c r="B68" s="233"/>
      <c r="C68" s="234"/>
      <c r="D68" s="234"/>
      <c r="E68" s="234"/>
      <c r="F68" s="233"/>
      <c r="G68" s="235"/>
      <c r="H68" s="233"/>
      <c r="I68" s="235"/>
      <c r="J68" s="234"/>
      <c r="K68" s="233"/>
    </row>
    <row r="69" spans="1:14" x14ac:dyDescent="0.25">
      <c r="A69" s="222"/>
      <c r="B69" s="219"/>
      <c r="C69" s="220"/>
      <c r="D69" s="220"/>
      <c r="E69" s="220"/>
      <c r="F69" s="219"/>
      <c r="G69" s="221"/>
      <c r="H69" s="219"/>
      <c r="I69" s="221"/>
      <c r="J69" s="220"/>
      <c r="K69" s="219"/>
    </row>
    <row r="70" spans="1:14" x14ac:dyDescent="0.25">
      <c r="A70" s="218" t="s">
        <v>569</v>
      </c>
      <c r="B70" s="223"/>
      <c r="C70" s="224"/>
      <c r="D70" s="224"/>
      <c r="E70" s="224"/>
      <c r="F70" s="223"/>
      <c r="G70" s="217"/>
      <c r="H70" s="223"/>
      <c r="I70" s="217"/>
      <c r="J70" s="224"/>
      <c r="K70" s="223"/>
    </row>
    <row r="71" spans="1:14" s="211" customFormat="1" x14ac:dyDescent="0.25">
      <c r="A71" s="222" t="s">
        <v>244</v>
      </c>
      <c r="B71" s="224">
        <f>'Community Services'!H42</f>
        <v>48100</v>
      </c>
      <c r="C71" s="224">
        <f>'Community Services'!I42</f>
        <v>0</v>
      </c>
      <c r="D71" s="224">
        <f>'Community Services'!J42</f>
        <v>48100</v>
      </c>
      <c r="E71" s="224">
        <f>'Community Services'!K42</f>
        <v>0</v>
      </c>
      <c r="F71" s="223">
        <f>'Community Services'!L42</f>
        <v>48100</v>
      </c>
      <c r="G71" s="217">
        <v>0</v>
      </c>
      <c r="H71" s="223">
        <f>F71+G71</f>
        <v>48100</v>
      </c>
      <c r="I71" s="217">
        <f>'Community Services'!M42</f>
        <v>43100</v>
      </c>
      <c r="J71" s="224">
        <f>'Community Services'!N42</f>
        <v>44996.4</v>
      </c>
      <c r="K71" s="223">
        <f>'Community Services'!O42</f>
        <v>47021.237999999998</v>
      </c>
      <c r="L71" s="203"/>
      <c r="N71" s="203"/>
    </row>
    <row r="72" spans="1:14" x14ac:dyDescent="0.25">
      <c r="A72" s="236" t="s">
        <v>976</v>
      </c>
      <c r="B72" s="237">
        <f>'Community Services'!H83</f>
        <v>0</v>
      </c>
      <c r="C72" s="237">
        <f>'Community Services'!I83</f>
        <v>0</v>
      </c>
      <c r="D72" s="237">
        <f>'Community Services'!J83</f>
        <v>0</v>
      </c>
      <c r="E72" s="237">
        <f>'Community Services'!K83</f>
        <v>0</v>
      </c>
      <c r="F72" s="238">
        <f>'Community Services'!L83</f>
        <v>0</v>
      </c>
      <c r="G72" s="217">
        <v>0</v>
      </c>
      <c r="H72" s="223">
        <f t="shared" ref="H72:H135" si="11">F72+G72</f>
        <v>0</v>
      </c>
      <c r="I72" s="239">
        <f>'Community Services'!M43</f>
        <v>50000</v>
      </c>
      <c r="J72" s="237">
        <f>'Community Services'!N43</f>
        <v>0</v>
      </c>
      <c r="K72" s="238">
        <f>'Community Services'!O43</f>
        <v>0</v>
      </c>
    </row>
    <row r="73" spans="1:14" hidden="1" x14ac:dyDescent="0.25">
      <c r="A73" s="222" t="s">
        <v>884</v>
      </c>
      <c r="B73" s="224">
        <f>'Community Services'!H72</f>
        <v>0</v>
      </c>
      <c r="C73" s="224">
        <f>'Community Services'!I72</f>
        <v>0</v>
      </c>
      <c r="D73" s="224">
        <f>'Community Services'!J72</f>
        <v>0</v>
      </c>
      <c r="E73" s="224">
        <f>'Community Services'!K72</f>
        <v>0</v>
      </c>
      <c r="F73" s="223">
        <f>'Community Services'!L72</f>
        <v>0</v>
      </c>
      <c r="G73" s="217">
        <v>0</v>
      </c>
      <c r="H73" s="223">
        <f t="shared" si="11"/>
        <v>0</v>
      </c>
      <c r="I73" s="217">
        <f>'Community Services'!M44</f>
        <v>0</v>
      </c>
      <c r="J73" s="224">
        <f>'Community Services'!N44</f>
        <v>0</v>
      </c>
      <c r="K73" s="223">
        <f>'Community Services'!O44</f>
        <v>0</v>
      </c>
    </row>
    <row r="74" spans="1:14" x14ac:dyDescent="0.25">
      <c r="A74" s="222" t="s">
        <v>883</v>
      </c>
      <c r="B74" s="224">
        <v>45000</v>
      </c>
      <c r="C74" s="224">
        <f>'Community Services'!I71</f>
        <v>0</v>
      </c>
      <c r="D74" s="224">
        <f>'Community Services'!J71</f>
        <v>0</v>
      </c>
      <c r="E74" s="224">
        <v>50000</v>
      </c>
      <c r="F74" s="223">
        <f>'Community Services'!L71</f>
        <v>0</v>
      </c>
      <c r="G74" s="217">
        <v>0</v>
      </c>
      <c r="H74" s="223">
        <f t="shared" si="11"/>
        <v>0</v>
      </c>
      <c r="I74" s="217">
        <f>'Community Services'!M45</f>
        <v>0</v>
      </c>
      <c r="J74" s="224">
        <f>'Community Services'!N45</f>
        <v>50000</v>
      </c>
      <c r="K74" s="223">
        <f>'Community Services'!O45</f>
        <v>50000</v>
      </c>
    </row>
    <row r="75" spans="1:14" hidden="1" x14ac:dyDescent="0.25">
      <c r="A75" s="222" t="s">
        <v>885</v>
      </c>
      <c r="B75" s="224">
        <f>'Community Services'!H73</f>
        <v>0</v>
      </c>
      <c r="C75" s="224">
        <f>'Community Services'!I73</f>
        <v>0</v>
      </c>
      <c r="D75" s="224">
        <f>'Community Services'!J73</f>
        <v>0</v>
      </c>
      <c r="E75" s="224">
        <f>'Community Services'!K73</f>
        <v>0</v>
      </c>
      <c r="F75" s="223">
        <f>'Community Services'!L73</f>
        <v>0</v>
      </c>
      <c r="G75" s="217">
        <v>0</v>
      </c>
      <c r="H75" s="223">
        <f t="shared" si="11"/>
        <v>0</v>
      </c>
      <c r="I75" s="217">
        <f>'Community Services'!M46</f>
        <v>0</v>
      </c>
      <c r="J75" s="224">
        <f>'Community Services'!N46</f>
        <v>0</v>
      </c>
      <c r="K75" s="223">
        <f>'Community Services'!O46</f>
        <v>0</v>
      </c>
    </row>
    <row r="76" spans="1:14" x14ac:dyDescent="0.25">
      <c r="A76" s="222" t="s">
        <v>571</v>
      </c>
      <c r="B76" s="224">
        <f>'Office of the MM'!G40</f>
        <v>358299</v>
      </c>
      <c r="C76" s="224">
        <f>'Office of the MM'!H40</f>
        <v>204972</v>
      </c>
      <c r="D76" s="224">
        <f>'Office of the MM'!I40</f>
        <v>153327</v>
      </c>
      <c r="E76" s="224">
        <f>'Office of the MM'!J40</f>
        <v>0</v>
      </c>
      <c r="F76" s="223">
        <f>'Office of the MM'!K40</f>
        <v>358299</v>
      </c>
      <c r="G76" s="217">
        <v>0</v>
      </c>
      <c r="H76" s="223">
        <f t="shared" si="11"/>
        <v>358299</v>
      </c>
      <c r="I76" s="217">
        <f>'Office of the MM'!L40</f>
        <v>365497.35200000001</v>
      </c>
      <c r="J76" s="224">
        <f>'Office of the MM'!M40</f>
        <v>381579.23548800003</v>
      </c>
      <c r="K76" s="223">
        <f>'Office of the MM'!N40</f>
        <v>398750.30108496</v>
      </c>
    </row>
    <row r="77" spans="1:14" s="211" customFormat="1" x14ac:dyDescent="0.25">
      <c r="A77" s="222" t="s">
        <v>157</v>
      </c>
      <c r="B77" s="224">
        <f>Finance!G42</f>
        <v>3241410</v>
      </c>
      <c r="C77" s="224">
        <f>Finance!H42</f>
        <v>3264040.54</v>
      </c>
      <c r="D77" s="224">
        <f>Finance!I42</f>
        <v>-22630.540000000037</v>
      </c>
      <c r="E77" s="224">
        <f>Finance!J42</f>
        <v>1300000</v>
      </c>
      <c r="F77" s="223">
        <f>Finance!K42</f>
        <v>4541410</v>
      </c>
      <c r="G77" s="217">
        <v>0</v>
      </c>
      <c r="H77" s="223">
        <f t="shared" si="11"/>
        <v>4541410</v>
      </c>
      <c r="I77" s="217">
        <f>Finance!L42</f>
        <v>3900000</v>
      </c>
      <c r="J77" s="224">
        <f>Finance!M42</f>
        <v>4000000</v>
      </c>
      <c r="K77" s="223">
        <f>Finance!N42</f>
        <v>4179999.9999999995</v>
      </c>
      <c r="L77" s="203"/>
      <c r="N77" s="203"/>
    </row>
    <row r="78" spans="1:14" hidden="1" x14ac:dyDescent="0.25">
      <c r="A78" s="236" t="s">
        <v>860</v>
      </c>
      <c r="B78" s="224">
        <f>'Community Services'!H47</f>
        <v>0</v>
      </c>
      <c r="C78" s="224">
        <f>'Community Services'!I47</f>
        <v>0</v>
      </c>
      <c r="D78" s="224">
        <f>'Community Services'!J47</f>
        <v>0</v>
      </c>
      <c r="E78" s="224">
        <f>'Community Services'!K47</f>
        <v>0</v>
      </c>
      <c r="F78" s="223">
        <f>'Community Services'!L47</f>
        <v>0</v>
      </c>
      <c r="G78" s="217">
        <v>0</v>
      </c>
      <c r="H78" s="223">
        <f t="shared" si="11"/>
        <v>0</v>
      </c>
      <c r="I78" s="217">
        <f>'Community Services'!M47</f>
        <v>0</v>
      </c>
      <c r="J78" s="224">
        <f>'Community Services'!N47</f>
        <v>0</v>
      </c>
      <c r="K78" s="223">
        <f>'Community Services'!O47</f>
        <v>0</v>
      </c>
    </row>
    <row r="79" spans="1:14" s="211" customFormat="1" x14ac:dyDescent="0.25">
      <c r="A79" s="222" t="s">
        <v>161</v>
      </c>
      <c r="B79" s="224">
        <f>Finance!G43</f>
        <v>244095</v>
      </c>
      <c r="C79" s="224">
        <f>Finance!H43</f>
        <v>79801.399999999994</v>
      </c>
      <c r="D79" s="224">
        <f>Finance!I43</f>
        <v>164293.6</v>
      </c>
      <c r="E79" s="224">
        <f>Finance!J43</f>
        <v>0</v>
      </c>
      <c r="F79" s="223">
        <f>Finance!K43</f>
        <v>244095</v>
      </c>
      <c r="G79" s="217">
        <v>0</v>
      </c>
      <c r="H79" s="223">
        <f t="shared" si="11"/>
        <v>244095</v>
      </c>
      <c r="I79" s="217">
        <f>Finance!L43</f>
        <v>255811.56</v>
      </c>
      <c r="J79" s="224">
        <f>Finance!M43</f>
        <v>267067.26864000002</v>
      </c>
      <c r="K79" s="223">
        <f>Finance!N43</f>
        <v>279085.2957288</v>
      </c>
      <c r="L79" s="203"/>
      <c r="N79" s="203"/>
    </row>
    <row r="80" spans="1:14" hidden="1" x14ac:dyDescent="0.25">
      <c r="A80" s="222" t="s">
        <v>846</v>
      </c>
      <c r="B80" s="224">
        <f>IDP!G38</f>
        <v>0</v>
      </c>
      <c r="C80" s="224">
        <f>IDP!H38</f>
        <v>0</v>
      </c>
      <c r="D80" s="224">
        <f>IDP!I38</f>
        <v>0</v>
      </c>
      <c r="E80" s="224">
        <f>IDP!J38</f>
        <v>0</v>
      </c>
      <c r="F80" s="223">
        <f>IDP!K38</f>
        <v>0</v>
      </c>
      <c r="G80" s="217">
        <v>0</v>
      </c>
      <c r="H80" s="223">
        <f t="shared" si="11"/>
        <v>0</v>
      </c>
      <c r="I80" s="217">
        <f>IDP!L38</f>
        <v>0</v>
      </c>
      <c r="J80" s="224">
        <f>IDP!M38</f>
        <v>0</v>
      </c>
      <c r="K80" s="223">
        <f>IDP!N38</f>
        <v>0</v>
      </c>
    </row>
    <row r="81" spans="1:14" x14ac:dyDescent="0.25">
      <c r="A81" s="222" t="s">
        <v>1195</v>
      </c>
      <c r="B81" s="224">
        <f>'Executive Mayor'!G44</f>
        <v>0</v>
      </c>
      <c r="C81" s="224">
        <f>'Executive Mayor'!H44</f>
        <v>0</v>
      </c>
      <c r="D81" s="224">
        <f>'Executive Mayor'!I44</f>
        <v>0</v>
      </c>
      <c r="E81" s="224">
        <f>'Executive Mayor'!J44</f>
        <v>0</v>
      </c>
      <c r="F81" s="223">
        <f>'Executive Mayor'!K44</f>
        <v>0</v>
      </c>
      <c r="G81" s="217">
        <v>0</v>
      </c>
      <c r="H81" s="223">
        <f t="shared" si="11"/>
        <v>0</v>
      </c>
      <c r="I81" s="217">
        <f>'Executive Mayor'!L44</f>
        <v>250000</v>
      </c>
      <c r="J81" s="224">
        <f>'Executive Mayor'!M44</f>
        <v>0</v>
      </c>
      <c r="K81" s="223">
        <f>'Executive Mayor'!N44</f>
        <v>0</v>
      </c>
    </row>
    <row r="82" spans="1:14" s="211" customFormat="1" x14ac:dyDescent="0.25">
      <c r="A82" s="222" t="s">
        <v>998</v>
      </c>
      <c r="B82" s="224">
        <f>Speaker!F43</f>
        <v>100000</v>
      </c>
      <c r="C82" s="224">
        <f>Speaker!G43</f>
        <v>0</v>
      </c>
      <c r="D82" s="224">
        <f>Speaker!H43</f>
        <v>100000</v>
      </c>
      <c r="E82" s="224">
        <f>Speaker!I43</f>
        <v>0</v>
      </c>
      <c r="F82" s="223">
        <f>Speaker!J43</f>
        <v>100000</v>
      </c>
      <c r="G82" s="217">
        <v>0</v>
      </c>
      <c r="H82" s="223">
        <f t="shared" si="11"/>
        <v>100000</v>
      </c>
      <c r="I82" s="217">
        <f>Speaker!K43</f>
        <v>120000</v>
      </c>
      <c r="J82" s="224">
        <f>Speaker!L43</f>
        <v>100000</v>
      </c>
      <c r="K82" s="223">
        <f>Speaker!M43</f>
        <v>100000</v>
      </c>
      <c r="L82" s="203"/>
      <c r="N82" s="203"/>
    </row>
    <row r="83" spans="1:14" x14ac:dyDescent="0.25">
      <c r="A83" s="222" t="s">
        <v>859</v>
      </c>
      <c r="B83" s="224">
        <f>'Corporate Services'!G42</f>
        <v>300000</v>
      </c>
      <c r="C83" s="224">
        <f>'Corporate Services'!H42</f>
        <v>199440</v>
      </c>
      <c r="D83" s="224">
        <f>'Corporate Services'!I42</f>
        <v>100560</v>
      </c>
      <c r="E83" s="224">
        <f>'Corporate Services'!J42</f>
        <v>0</v>
      </c>
      <c r="F83" s="223">
        <f>'Corporate Services'!K42</f>
        <v>300000</v>
      </c>
      <c r="G83" s="217">
        <v>0</v>
      </c>
      <c r="H83" s="223">
        <f t="shared" si="11"/>
        <v>300000</v>
      </c>
      <c r="I83" s="217">
        <f>'Corporate Services'!L42</f>
        <v>300000</v>
      </c>
      <c r="J83" s="224">
        <f>'Corporate Services'!M42</f>
        <v>150000</v>
      </c>
      <c r="K83" s="223">
        <f>'Corporate Services'!N42</f>
        <v>156750</v>
      </c>
    </row>
    <row r="84" spans="1:14" x14ac:dyDescent="0.25">
      <c r="A84" s="222" t="s">
        <v>81</v>
      </c>
      <c r="B84" s="224">
        <f>'Executive Mayor'!G45</f>
        <v>1000000</v>
      </c>
      <c r="C84" s="224">
        <f>'Executive Mayor'!H45</f>
        <v>473387.27</v>
      </c>
      <c r="D84" s="224">
        <f>'Executive Mayor'!I45</f>
        <v>526612.73</v>
      </c>
      <c r="E84" s="224">
        <f>'Executive Mayor'!J45</f>
        <v>0</v>
      </c>
      <c r="F84" s="223">
        <f>'Executive Mayor'!K45</f>
        <v>1000000</v>
      </c>
      <c r="G84" s="217">
        <v>0</v>
      </c>
      <c r="H84" s="223">
        <f t="shared" si="11"/>
        <v>1000000</v>
      </c>
      <c r="I84" s="217">
        <f>'Executive Mayor'!L45</f>
        <v>500000</v>
      </c>
      <c r="J84" s="224">
        <f>'Executive Mayor'!M45</f>
        <v>600000</v>
      </c>
      <c r="K84" s="223">
        <f>'Executive Mayor'!N45</f>
        <v>600000</v>
      </c>
    </row>
    <row r="85" spans="1:14" s="211" customFormat="1" hidden="1" x14ac:dyDescent="0.25">
      <c r="A85" s="191" t="s">
        <v>1178</v>
      </c>
      <c r="B85" s="224">
        <f>'Community Services'!H48</f>
        <v>0</v>
      </c>
      <c r="C85" s="224">
        <f>'Community Services'!I48</f>
        <v>0</v>
      </c>
      <c r="D85" s="224">
        <f>'Community Services'!J48</f>
        <v>0</v>
      </c>
      <c r="E85" s="224">
        <f>'Community Services'!K48</f>
        <v>0</v>
      </c>
      <c r="F85" s="223">
        <f>'Community Services'!L48</f>
        <v>0</v>
      </c>
      <c r="G85" s="217">
        <v>0</v>
      </c>
      <c r="H85" s="223">
        <f t="shared" si="11"/>
        <v>0</v>
      </c>
      <c r="I85" s="217">
        <f>'Community Services'!M48</f>
        <v>0</v>
      </c>
      <c r="J85" s="224">
        <f>'Community Services'!N48</f>
        <v>0</v>
      </c>
      <c r="K85" s="223">
        <f>'Community Services'!O48</f>
        <v>0</v>
      </c>
      <c r="L85" s="203"/>
      <c r="N85" s="203"/>
    </row>
    <row r="86" spans="1:14" hidden="1" x14ac:dyDescent="0.25">
      <c r="A86" s="191" t="s">
        <v>1190</v>
      </c>
      <c r="B86" s="224">
        <f>'Community Services'!H49</f>
        <v>0</v>
      </c>
      <c r="C86" s="224">
        <f>'Community Services'!I49</f>
        <v>0</v>
      </c>
      <c r="D86" s="224">
        <f>'Community Services'!J49</f>
        <v>0</v>
      </c>
      <c r="E86" s="224">
        <f>'Community Services'!K49</f>
        <v>0</v>
      </c>
      <c r="F86" s="223">
        <f>'Community Services'!L49</f>
        <v>0</v>
      </c>
      <c r="G86" s="217">
        <v>0</v>
      </c>
      <c r="H86" s="223">
        <f t="shared" si="11"/>
        <v>0</v>
      </c>
      <c r="I86" s="217">
        <f>'Community Services'!M49</f>
        <v>0</v>
      </c>
      <c r="J86" s="224">
        <f>'Community Services'!N49</f>
        <v>0</v>
      </c>
      <c r="K86" s="223">
        <f>'Community Services'!O49</f>
        <v>0</v>
      </c>
    </row>
    <row r="87" spans="1:14" s="211" customFormat="1" hidden="1" x14ac:dyDescent="0.25">
      <c r="A87" s="191" t="s">
        <v>1189</v>
      </c>
      <c r="B87" s="224">
        <f>'Community Services'!H50</f>
        <v>0</v>
      </c>
      <c r="C87" s="224">
        <f>'Community Services'!I50</f>
        <v>0</v>
      </c>
      <c r="D87" s="224">
        <f>'Community Services'!J50</f>
        <v>0</v>
      </c>
      <c r="E87" s="224">
        <f>'Community Services'!K50</f>
        <v>0</v>
      </c>
      <c r="F87" s="223">
        <f>'Community Services'!L50</f>
        <v>0</v>
      </c>
      <c r="G87" s="217">
        <v>0</v>
      </c>
      <c r="H87" s="223">
        <f t="shared" si="11"/>
        <v>0</v>
      </c>
      <c r="I87" s="217">
        <f>'Community Services'!M50</f>
        <v>0</v>
      </c>
      <c r="J87" s="224">
        <f>'Community Services'!N50</f>
        <v>0</v>
      </c>
      <c r="K87" s="223">
        <f>'Community Services'!O50</f>
        <v>0</v>
      </c>
      <c r="L87" s="203"/>
      <c r="N87" s="203"/>
    </row>
    <row r="88" spans="1:14" hidden="1" x14ac:dyDescent="0.25">
      <c r="A88" s="191" t="s">
        <v>1187</v>
      </c>
      <c r="B88" s="224">
        <f>'Community Services'!H51</f>
        <v>0</v>
      </c>
      <c r="C88" s="224">
        <f>'Community Services'!I51</f>
        <v>0</v>
      </c>
      <c r="D88" s="224">
        <f>'Community Services'!J51</f>
        <v>0</v>
      </c>
      <c r="E88" s="224">
        <f>'Community Services'!K51</f>
        <v>0</v>
      </c>
      <c r="F88" s="223">
        <f>'Community Services'!L51</f>
        <v>0</v>
      </c>
      <c r="G88" s="217">
        <v>0</v>
      </c>
      <c r="H88" s="223">
        <f t="shared" si="11"/>
        <v>0</v>
      </c>
      <c r="I88" s="217">
        <f>'Community Services'!M51</f>
        <v>0</v>
      </c>
      <c r="J88" s="224">
        <f>'Community Services'!N51</f>
        <v>0</v>
      </c>
      <c r="K88" s="223">
        <f>'Community Services'!O51</f>
        <v>0</v>
      </c>
    </row>
    <row r="89" spans="1:14" hidden="1" x14ac:dyDescent="0.25">
      <c r="A89" s="191" t="s">
        <v>1188</v>
      </c>
      <c r="B89" s="224">
        <f>'Community Services'!H52</f>
        <v>0</v>
      </c>
      <c r="C89" s="224">
        <f>'Community Services'!I52</f>
        <v>0</v>
      </c>
      <c r="D89" s="224">
        <f>'Community Services'!J52</f>
        <v>0</v>
      </c>
      <c r="E89" s="224">
        <f>'Community Services'!K52</f>
        <v>0</v>
      </c>
      <c r="F89" s="223">
        <f>'Community Services'!L52</f>
        <v>0</v>
      </c>
      <c r="G89" s="217">
        <v>0</v>
      </c>
      <c r="H89" s="223">
        <f t="shared" si="11"/>
        <v>0</v>
      </c>
      <c r="I89" s="217">
        <f>'Community Services'!M52</f>
        <v>0</v>
      </c>
      <c r="J89" s="224">
        <f>'Community Services'!N52</f>
        <v>0</v>
      </c>
      <c r="K89" s="223">
        <f>'Community Services'!O52</f>
        <v>0</v>
      </c>
    </row>
    <row r="90" spans="1:14" x14ac:dyDescent="0.25">
      <c r="A90" s="222" t="s">
        <v>1258</v>
      </c>
      <c r="B90" s="224">
        <v>1000000</v>
      </c>
      <c r="C90" s="224">
        <v>0</v>
      </c>
      <c r="D90" s="224">
        <v>0</v>
      </c>
      <c r="E90" s="224">
        <v>795000</v>
      </c>
      <c r="F90" s="223">
        <v>1795000</v>
      </c>
      <c r="G90" s="217">
        <v>0</v>
      </c>
      <c r="H90" s="223">
        <f t="shared" si="11"/>
        <v>1795000</v>
      </c>
      <c r="I90" s="217">
        <f>Finance!L44</f>
        <v>1320000</v>
      </c>
      <c r="J90" s="224">
        <f>Finance!M44</f>
        <v>1378080</v>
      </c>
      <c r="K90" s="223">
        <f>Finance!N44</f>
        <v>1300000</v>
      </c>
    </row>
    <row r="91" spans="1:14" x14ac:dyDescent="0.25">
      <c r="A91" s="222" t="s">
        <v>1016</v>
      </c>
      <c r="B91" s="224"/>
      <c r="C91" s="224"/>
      <c r="D91" s="224"/>
      <c r="E91" s="224"/>
      <c r="F91" s="223"/>
      <c r="G91" s="217">
        <v>0</v>
      </c>
      <c r="H91" s="223">
        <f t="shared" si="11"/>
        <v>0</v>
      </c>
      <c r="I91" s="217">
        <f>Finance!L45</f>
        <v>50000</v>
      </c>
      <c r="J91" s="224">
        <f>Finance!M45</f>
        <v>50000</v>
      </c>
      <c r="K91" s="223">
        <f>Finance!N45</f>
        <v>50000</v>
      </c>
    </row>
    <row r="92" spans="1:14" hidden="1" x14ac:dyDescent="0.25">
      <c r="A92" s="236" t="s">
        <v>845</v>
      </c>
      <c r="B92" s="224">
        <f>'Office of the MM'!G61</f>
        <v>0</v>
      </c>
      <c r="C92" s="224"/>
      <c r="D92" s="224"/>
      <c r="E92" s="224"/>
      <c r="F92" s="223"/>
      <c r="G92" s="217">
        <v>0</v>
      </c>
      <c r="H92" s="223">
        <f t="shared" si="11"/>
        <v>0</v>
      </c>
      <c r="I92" s="217">
        <v>0</v>
      </c>
      <c r="J92" s="224">
        <v>0</v>
      </c>
      <c r="K92" s="223">
        <v>0</v>
      </c>
    </row>
    <row r="93" spans="1:14" hidden="1" x14ac:dyDescent="0.25">
      <c r="A93" s="236" t="s">
        <v>861</v>
      </c>
      <c r="B93" s="224">
        <f>'Community Services'!H44</f>
        <v>0</v>
      </c>
      <c r="C93" s="224">
        <f>'Community Services'!I44</f>
        <v>0</v>
      </c>
      <c r="D93" s="224">
        <f>'Community Services'!J44</f>
        <v>0</v>
      </c>
      <c r="E93" s="224">
        <f>'Community Services'!K44</f>
        <v>0</v>
      </c>
      <c r="F93" s="223">
        <f>'Community Services'!L44</f>
        <v>0</v>
      </c>
      <c r="G93" s="217">
        <v>0</v>
      </c>
      <c r="H93" s="223">
        <f t="shared" si="11"/>
        <v>0</v>
      </c>
      <c r="I93" s="217">
        <v>0</v>
      </c>
      <c r="J93" s="224">
        <v>0</v>
      </c>
      <c r="K93" s="223">
        <v>0</v>
      </c>
    </row>
    <row r="94" spans="1:14" ht="18" customHeight="1" x14ac:dyDescent="0.25">
      <c r="A94" s="222" t="s">
        <v>205</v>
      </c>
      <c r="B94" s="224">
        <f>'Corporate Services'!G45</f>
        <v>79662</v>
      </c>
      <c r="C94" s="224">
        <f>'Corporate Services'!H45</f>
        <v>34009</v>
      </c>
      <c r="D94" s="224">
        <f>'Corporate Services'!I45</f>
        <v>45653</v>
      </c>
      <c r="E94" s="224">
        <f>'Corporate Services'!J45</f>
        <v>0</v>
      </c>
      <c r="F94" s="223">
        <f>'Corporate Services'!K45</f>
        <v>79662</v>
      </c>
      <c r="G94" s="217">
        <v>0</v>
      </c>
      <c r="H94" s="223">
        <f t="shared" si="11"/>
        <v>79662</v>
      </c>
      <c r="I94" s="217">
        <f>'Corporate Services'!L45</f>
        <v>50000</v>
      </c>
      <c r="J94" s="224">
        <f>'Corporate Services'!M45</f>
        <v>52200</v>
      </c>
      <c r="K94" s="223">
        <f>'Corporate Services'!N45</f>
        <v>54548.999999999993</v>
      </c>
    </row>
    <row r="95" spans="1:14" x14ac:dyDescent="0.25">
      <c r="A95" s="222" t="s">
        <v>570</v>
      </c>
      <c r="B95" s="224">
        <f>'Corporate Services'!G46</f>
        <v>161114</v>
      </c>
      <c r="C95" s="224">
        <f>'Corporate Services'!H46</f>
        <v>105124</v>
      </c>
      <c r="D95" s="224">
        <f>'Corporate Services'!I46</f>
        <v>55990</v>
      </c>
      <c r="E95" s="224">
        <f>'Corporate Services'!J46</f>
        <v>120000</v>
      </c>
      <c r="F95" s="223">
        <f>'Corporate Services'!K46</f>
        <v>281114</v>
      </c>
      <c r="G95" s="217">
        <v>0</v>
      </c>
      <c r="H95" s="223">
        <f t="shared" si="11"/>
        <v>281114</v>
      </c>
      <c r="I95" s="217">
        <f>'Corporate Services'!L46</f>
        <v>200000</v>
      </c>
      <c r="J95" s="224">
        <f>'Corporate Services'!M46</f>
        <v>208800</v>
      </c>
      <c r="K95" s="223">
        <f>'Corporate Services'!N46</f>
        <v>218195.99999999997</v>
      </c>
    </row>
    <row r="96" spans="1:14" ht="18" customHeight="1" x14ac:dyDescent="0.25">
      <c r="A96" s="236" t="s">
        <v>966</v>
      </c>
      <c r="B96" s="237">
        <f>'Executive Mayor'!G46+'Community Services'!H53</f>
        <v>0</v>
      </c>
      <c r="C96" s="237">
        <f>'Executive Mayor'!H46+'Community Services'!I53</f>
        <v>63362.5</v>
      </c>
      <c r="D96" s="237">
        <f>'Executive Mayor'!I46+'Community Services'!J53</f>
        <v>-63362.5</v>
      </c>
      <c r="E96" s="237">
        <f>'Executive Mayor'!J46+'Community Services'!K53</f>
        <v>80000</v>
      </c>
      <c r="F96" s="238">
        <f>'Executive Mayor'!K46+'Community Services'!L53</f>
        <v>80000</v>
      </c>
      <c r="G96" s="217">
        <v>0</v>
      </c>
      <c r="H96" s="223">
        <f t="shared" si="11"/>
        <v>80000</v>
      </c>
      <c r="I96" s="239">
        <f>'Executive Mayor'!L46+'Community Services'!M53</f>
        <v>0</v>
      </c>
      <c r="J96" s="237">
        <f>'Executive Mayor'!M46+'Community Services'!N53</f>
        <v>0</v>
      </c>
      <c r="K96" s="238">
        <f>'Executive Mayor'!N46+'Community Services'!O53</f>
        <v>0</v>
      </c>
    </row>
    <row r="97" spans="1:14" ht="18" hidden="1" customHeight="1" x14ac:dyDescent="0.25">
      <c r="A97" s="222" t="s">
        <v>935</v>
      </c>
      <c r="B97" s="224">
        <f>IDP!G38</f>
        <v>0</v>
      </c>
      <c r="C97" s="224">
        <f>IDP!H38</f>
        <v>0</v>
      </c>
      <c r="D97" s="224">
        <f>IDP!I38</f>
        <v>0</v>
      </c>
      <c r="E97" s="224">
        <f>IDP!J38</f>
        <v>0</v>
      </c>
      <c r="F97" s="223">
        <f>IDP!K38</f>
        <v>0</v>
      </c>
      <c r="G97" s="217">
        <v>0</v>
      </c>
      <c r="H97" s="223">
        <f t="shared" si="11"/>
        <v>0</v>
      </c>
      <c r="I97" s="217">
        <v>0</v>
      </c>
      <c r="J97" s="224">
        <v>0</v>
      </c>
      <c r="K97" s="223">
        <v>0</v>
      </c>
    </row>
    <row r="98" spans="1:14" s="211" customFormat="1" ht="18" hidden="1" customHeight="1" x14ac:dyDescent="0.25">
      <c r="A98" s="191" t="s">
        <v>1185</v>
      </c>
      <c r="B98" s="224">
        <f>'Community Services'!H54</f>
        <v>0</v>
      </c>
      <c r="C98" s="224">
        <f>'Community Services'!I54</f>
        <v>0</v>
      </c>
      <c r="D98" s="224">
        <f>'Community Services'!J54</f>
        <v>0</v>
      </c>
      <c r="E98" s="224">
        <f>'Community Services'!K54</f>
        <v>0</v>
      </c>
      <c r="F98" s="223">
        <f>'Community Services'!L54</f>
        <v>0</v>
      </c>
      <c r="G98" s="217">
        <v>0</v>
      </c>
      <c r="H98" s="223">
        <f t="shared" si="11"/>
        <v>0</v>
      </c>
      <c r="I98" s="217">
        <f>'Community Services'!M54</f>
        <v>0</v>
      </c>
      <c r="J98" s="224">
        <f>'Community Services'!N54</f>
        <v>0</v>
      </c>
      <c r="K98" s="223">
        <f>'Community Services'!O54</f>
        <v>0</v>
      </c>
      <c r="L98" s="203"/>
      <c r="N98" s="203"/>
    </row>
    <row r="99" spans="1:14" s="211" customFormat="1" ht="18" hidden="1" customHeight="1" x14ac:dyDescent="0.25">
      <c r="A99" s="191" t="s">
        <v>1184</v>
      </c>
      <c r="B99" s="224">
        <f>'Community Services'!H55</f>
        <v>0</v>
      </c>
      <c r="C99" s="224">
        <f>'Community Services'!I55</f>
        <v>0</v>
      </c>
      <c r="D99" s="224">
        <f>'Community Services'!J55</f>
        <v>0</v>
      </c>
      <c r="E99" s="224">
        <f>'Community Services'!K55</f>
        <v>0</v>
      </c>
      <c r="F99" s="223">
        <f>'Community Services'!L55</f>
        <v>0</v>
      </c>
      <c r="G99" s="217">
        <v>0</v>
      </c>
      <c r="H99" s="223">
        <f t="shared" si="11"/>
        <v>0</v>
      </c>
      <c r="I99" s="217">
        <f>'Community Services'!M55</f>
        <v>0</v>
      </c>
      <c r="J99" s="224">
        <f>'Community Services'!N55</f>
        <v>0</v>
      </c>
      <c r="K99" s="223">
        <f>'Community Services'!O55</f>
        <v>0</v>
      </c>
      <c r="L99" s="203"/>
      <c r="N99" s="203"/>
    </row>
    <row r="100" spans="1:14" s="211" customFormat="1" hidden="1" x14ac:dyDescent="0.25">
      <c r="A100" s="191" t="s">
        <v>1257</v>
      </c>
      <c r="B100" s="224">
        <f>'Community Services'!H56</f>
        <v>0</v>
      </c>
      <c r="C100" s="224">
        <f>'Community Services'!I56</f>
        <v>0</v>
      </c>
      <c r="D100" s="224">
        <f>'Community Services'!J56</f>
        <v>0</v>
      </c>
      <c r="E100" s="224">
        <f>'Community Services'!K56</f>
        <v>0</v>
      </c>
      <c r="F100" s="223">
        <f>'Community Services'!L56</f>
        <v>0</v>
      </c>
      <c r="G100" s="217">
        <v>0</v>
      </c>
      <c r="H100" s="223">
        <f t="shared" si="11"/>
        <v>0</v>
      </c>
      <c r="I100" s="217">
        <f>'Community Services'!M56</f>
        <v>0</v>
      </c>
      <c r="J100" s="224">
        <f>'Community Services'!N56</f>
        <v>0</v>
      </c>
      <c r="K100" s="223">
        <f>'Community Services'!O56</f>
        <v>0</v>
      </c>
      <c r="L100" s="203"/>
      <c r="N100" s="203"/>
    </row>
    <row r="101" spans="1:14" hidden="1" x14ac:dyDescent="0.25">
      <c r="A101" s="222" t="s">
        <v>941</v>
      </c>
      <c r="B101" s="224">
        <f>Agriculture!G37</f>
        <v>0</v>
      </c>
      <c r="C101" s="224">
        <f>Agriculture!H37</f>
        <v>0</v>
      </c>
      <c r="D101" s="224">
        <f>Agriculture!I37</f>
        <v>0</v>
      </c>
      <c r="E101" s="224">
        <f>Agriculture!J37</f>
        <v>0</v>
      </c>
      <c r="F101" s="223">
        <f>Agriculture!K37</f>
        <v>0</v>
      </c>
      <c r="G101" s="217">
        <v>0</v>
      </c>
      <c r="H101" s="223">
        <f t="shared" si="11"/>
        <v>0</v>
      </c>
      <c r="I101" s="217">
        <f>Agriculture!L37</f>
        <v>0</v>
      </c>
      <c r="J101" s="224">
        <f>Agriculture!M37</f>
        <v>0</v>
      </c>
      <c r="K101" s="223">
        <f>Agriculture!N37</f>
        <v>0</v>
      </c>
    </row>
    <row r="102" spans="1:14" hidden="1" x14ac:dyDescent="0.25">
      <c r="A102" s="222" t="s">
        <v>947</v>
      </c>
      <c r="B102" s="224">
        <f>'Community Services'!H58</f>
        <v>0</v>
      </c>
      <c r="C102" s="224">
        <f>'Community Services'!I58</f>
        <v>0</v>
      </c>
      <c r="D102" s="224">
        <f>'Community Services'!J58</f>
        <v>0</v>
      </c>
      <c r="E102" s="224">
        <f>'Community Services'!K58</f>
        <v>0</v>
      </c>
      <c r="F102" s="223">
        <f>'Community Services'!L58</f>
        <v>0</v>
      </c>
      <c r="G102" s="217">
        <v>0</v>
      </c>
      <c r="H102" s="223">
        <f t="shared" si="11"/>
        <v>0</v>
      </c>
      <c r="I102" s="217">
        <f>'Community Services'!M58</f>
        <v>0</v>
      </c>
      <c r="J102" s="224">
        <f>'Community Services'!N58</f>
        <v>0</v>
      </c>
      <c r="K102" s="223">
        <f>'Community Services'!O58</f>
        <v>0</v>
      </c>
    </row>
    <row r="103" spans="1:14" x14ac:dyDescent="0.25">
      <c r="A103" s="191" t="s">
        <v>1165</v>
      </c>
      <c r="B103" s="224">
        <f>'Community Services'!H60</f>
        <v>0</v>
      </c>
      <c r="C103" s="224">
        <f>'Community Services'!I60</f>
        <v>0</v>
      </c>
      <c r="D103" s="224">
        <f>'Community Services'!J60</f>
        <v>0</v>
      </c>
      <c r="E103" s="224">
        <f>'Community Services'!K60</f>
        <v>0</v>
      </c>
      <c r="F103" s="223">
        <f>'Community Services'!L60</f>
        <v>0</v>
      </c>
      <c r="G103" s="217">
        <v>0</v>
      </c>
      <c r="H103" s="223">
        <f t="shared" si="11"/>
        <v>0</v>
      </c>
      <c r="I103" s="217">
        <f>'Community Services'!M60</f>
        <v>50000</v>
      </c>
      <c r="J103" s="224">
        <f>'Community Services'!N60</f>
        <v>50000</v>
      </c>
      <c r="K103" s="223">
        <f>'Community Services'!O60</f>
        <v>50000</v>
      </c>
    </row>
    <row r="104" spans="1:14" x14ac:dyDescent="0.25">
      <c r="A104" s="236" t="s">
        <v>973</v>
      </c>
      <c r="B104" s="224">
        <f>'Executive Mayor'!G50</f>
        <v>1100000</v>
      </c>
      <c r="C104" s="224">
        <f>'Executive Mayor'!H50</f>
        <v>389287</v>
      </c>
      <c r="D104" s="224">
        <f>'Executive Mayor'!I50</f>
        <v>710713</v>
      </c>
      <c r="E104" s="224">
        <f>'Executive Mayor'!J50</f>
        <v>0</v>
      </c>
      <c r="F104" s="223">
        <f>'Executive Mayor'!K50</f>
        <v>1100000</v>
      </c>
      <c r="G104" s="217">
        <v>0</v>
      </c>
      <c r="H104" s="223">
        <f t="shared" si="11"/>
        <v>1100000</v>
      </c>
      <c r="I104" s="217">
        <f>'Executive Mayor'!L50</f>
        <v>500000</v>
      </c>
      <c r="J104" s="224">
        <f>'Executive Mayor'!M50</f>
        <v>522000</v>
      </c>
      <c r="K104" s="223">
        <f>'Executive Mayor'!N50</f>
        <v>545490</v>
      </c>
    </row>
    <row r="105" spans="1:14" x14ac:dyDescent="0.25">
      <c r="A105" s="222" t="s">
        <v>981</v>
      </c>
      <c r="B105" s="224">
        <f>Agriculture!G38</f>
        <v>0</v>
      </c>
      <c r="C105" s="224">
        <f>Agriculture!H38</f>
        <v>0</v>
      </c>
      <c r="D105" s="224">
        <f>Agriculture!I38</f>
        <v>0</v>
      </c>
      <c r="E105" s="224">
        <f>Agriculture!J38</f>
        <v>0</v>
      </c>
      <c r="F105" s="223">
        <f>Agriculture!K38</f>
        <v>0</v>
      </c>
      <c r="G105" s="217">
        <v>0</v>
      </c>
      <c r="H105" s="223">
        <f t="shared" si="11"/>
        <v>0</v>
      </c>
      <c r="I105" s="217">
        <f>Agriculture!L38</f>
        <v>50000</v>
      </c>
      <c r="J105" s="224">
        <f>Agriculture!M38</f>
        <v>50000</v>
      </c>
      <c r="K105" s="223">
        <f>Agriculture!N38</f>
        <v>50000</v>
      </c>
    </row>
    <row r="106" spans="1:14" s="211" customFormat="1" x14ac:dyDescent="0.25">
      <c r="A106" s="222" t="s">
        <v>856</v>
      </c>
      <c r="B106" s="224">
        <f>'Corporate Services'!G47</f>
        <v>25000</v>
      </c>
      <c r="C106" s="224">
        <f>'Corporate Services'!H47</f>
        <v>0</v>
      </c>
      <c r="D106" s="224">
        <f>'Corporate Services'!I47</f>
        <v>25000</v>
      </c>
      <c r="E106" s="224">
        <f>'Corporate Services'!J47</f>
        <v>0</v>
      </c>
      <c r="F106" s="223">
        <f>'Corporate Services'!K47</f>
        <v>25000</v>
      </c>
      <c r="G106" s="217">
        <v>0</v>
      </c>
      <c r="H106" s="223">
        <f t="shared" si="11"/>
        <v>25000</v>
      </c>
      <c r="I106" s="217">
        <f>'Corporate Services'!L47</f>
        <v>0</v>
      </c>
      <c r="J106" s="224">
        <f>'Corporate Services'!M47</f>
        <v>0</v>
      </c>
      <c r="K106" s="223">
        <f>'Corporate Services'!N47</f>
        <v>0</v>
      </c>
      <c r="L106" s="203"/>
      <c r="N106" s="203"/>
    </row>
    <row r="107" spans="1:14" s="211" customFormat="1" ht="18" customHeight="1" x14ac:dyDescent="0.25">
      <c r="A107" s="222" t="s">
        <v>1292</v>
      </c>
      <c r="B107" s="224">
        <f>Infrastructure!G35</f>
        <v>4000000</v>
      </c>
      <c r="C107" s="224">
        <f>Infrastructure!H35</f>
        <v>1739130.19</v>
      </c>
      <c r="D107" s="224">
        <f>Infrastructure!I35</f>
        <v>2260869.81</v>
      </c>
      <c r="E107" s="224">
        <f>Infrastructure!J35</f>
        <v>0</v>
      </c>
      <c r="F107" s="223">
        <f>Infrastructure!K35</f>
        <v>4000000</v>
      </c>
      <c r="G107" s="217">
        <f>Infrastructure!L35</f>
        <v>8000000</v>
      </c>
      <c r="H107" s="223">
        <f t="shared" si="11"/>
        <v>12000000</v>
      </c>
      <c r="I107" s="217">
        <f>Infrastructure!N35</f>
        <v>5000000</v>
      </c>
      <c r="J107" s="224">
        <f>Infrastructure!O35</f>
        <v>4000000</v>
      </c>
      <c r="K107" s="223">
        <f>Infrastructure!P35</f>
        <v>0</v>
      </c>
      <c r="L107" s="203"/>
      <c r="N107" s="203"/>
    </row>
    <row r="108" spans="1:14" s="211" customFormat="1" ht="18" customHeight="1" x14ac:dyDescent="0.25">
      <c r="A108" s="222" t="s">
        <v>293</v>
      </c>
      <c r="B108" s="224">
        <f>Infrastructure!G36</f>
        <v>5048000</v>
      </c>
      <c r="C108" s="224">
        <f>Infrastructure!H36</f>
        <v>2462877.7000000002</v>
      </c>
      <c r="D108" s="224">
        <f>Infrastructure!I36</f>
        <v>2585122.2999999998</v>
      </c>
      <c r="E108" s="224">
        <f>Infrastructure!J36</f>
        <v>0</v>
      </c>
      <c r="F108" s="223">
        <f>Infrastructure!K36</f>
        <v>5048000</v>
      </c>
      <c r="G108" s="217">
        <v>0</v>
      </c>
      <c r="H108" s="223">
        <f t="shared" si="11"/>
        <v>5048000</v>
      </c>
      <c r="I108" s="217">
        <f>Infrastructure!N36</f>
        <v>5356000</v>
      </c>
      <c r="J108" s="224">
        <f>Infrastructure!O36</f>
        <v>0</v>
      </c>
      <c r="K108" s="223">
        <f>Infrastructure!P36</f>
        <v>0</v>
      </c>
      <c r="L108" s="203"/>
      <c r="N108" s="203"/>
    </row>
    <row r="109" spans="1:14" s="211" customFormat="1" ht="18" customHeight="1" x14ac:dyDescent="0.25">
      <c r="A109" s="222" t="s">
        <v>1194</v>
      </c>
      <c r="B109" s="224"/>
      <c r="C109" s="224">
        <f>'Executive Mayor'!H52</f>
        <v>0</v>
      </c>
      <c r="D109" s="224">
        <f>'Executive Mayor'!I52</f>
        <v>0</v>
      </c>
      <c r="E109" s="224">
        <f>'Executive Mayor'!J52</f>
        <v>0</v>
      </c>
      <c r="F109" s="223">
        <f>'Executive Mayor'!K52</f>
        <v>0</v>
      </c>
      <c r="G109" s="217">
        <v>0</v>
      </c>
      <c r="H109" s="223">
        <f t="shared" si="11"/>
        <v>0</v>
      </c>
      <c r="I109" s="217">
        <f>'Executive Mayor'!L52</f>
        <v>100000</v>
      </c>
      <c r="J109" s="224">
        <f>'Executive Mayor'!M52</f>
        <v>100000</v>
      </c>
      <c r="K109" s="223">
        <f>'Executive Mayor'!N52</f>
        <v>100000</v>
      </c>
      <c r="L109" s="203"/>
      <c r="N109" s="203"/>
    </row>
    <row r="110" spans="1:14" s="211" customFormat="1" x14ac:dyDescent="0.25">
      <c r="A110" s="222" t="s">
        <v>1214</v>
      </c>
      <c r="B110" s="224">
        <f>IDP!G40</f>
        <v>100000</v>
      </c>
      <c r="C110" s="224">
        <f>IDP!H40</f>
        <v>62037.83</v>
      </c>
      <c r="D110" s="224">
        <f>IDP!I40</f>
        <v>37962.17</v>
      </c>
      <c r="E110" s="224">
        <f>IDP!J40</f>
        <v>50000</v>
      </c>
      <c r="F110" s="223">
        <f>IDP!K40</f>
        <v>150000</v>
      </c>
      <c r="G110" s="217">
        <v>0</v>
      </c>
      <c r="H110" s="223">
        <f t="shared" si="11"/>
        <v>150000</v>
      </c>
      <c r="I110" s="217">
        <f>IDP!L40</f>
        <v>62200</v>
      </c>
      <c r="J110" s="224">
        <f>IDP!M40</f>
        <v>64936.800000000003</v>
      </c>
      <c r="K110" s="223">
        <f>IDP!N40</f>
        <v>67858.956000000006</v>
      </c>
      <c r="L110" s="203"/>
      <c r="N110" s="203"/>
    </row>
    <row r="111" spans="1:14" s="211" customFormat="1" x14ac:dyDescent="0.25">
      <c r="A111" s="222" t="s">
        <v>1216</v>
      </c>
      <c r="B111" s="224">
        <f>IDP!G37</f>
        <v>285000</v>
      </c>
      <c r="C111" s="224">
        <f>IDP!H37</f>
        <v>89000</v>
      </c>
      <c r="D111" s="224">
        <f>IDP!I37</f>
        <v>196000</v>
      </c>
      <c r="E111" s="224">
        <f>IDP!J37</f>
        <v>100000</v>
      </c>
      <c r="F111" s="223">
        <f>IDP!K37</f>
        <v>385000</v>
      </c>
      <c r="G111" s="217">
        <v>0</v>
      </c>
      <c r="H111" s="223">
        <f t="shared" si="11"/>
        <v>385000</v>
      </c>
      <c r="I111" s="225">
        <f>IDP!L37</f>
        <v>85000</v>
      </c>
      <c r="J111" s="224">
        <f>IDP!M37</f>
        <v>88740</v>
      </c>
      <c r="K111" s="223">
        <f>IDP!N37</f>
        <v>92733.299999999988</v>
      </c>
      <c r="L111" s="203"/>
      <c r="N111" s="203"/>
    </row>
    <row r="112" spans="1:14" s="211" customFormat="1" ht="18" hidden="1" customHeight="1" x14ac:dyDescent="0.25">
      <c r="A112" s="222" t="s">
        <v>1215</v>
      </c>
      <c r="B112" s="224">
        <v>0</v>
      </c>
      <c r="C112" s="224">
        <v>0</v>
      </c>
      <c r="D112" s="224">
        <v>0</v>
      </c>
      <c r="E112" s="224">
        <v>0</v>
      </c>
      <c r="F112" s="223">
        <v>0</v>
      </c>
      <c r="G112" s="217">
        <v>0</v>
      </c>
      <c r="H112" s="223">
        <f t="shared" si="11"/>
        <v>0</v>
      </c>
      <c r="I112" s="225">
        <v>0</v>
      </c>
      <c r="J112" s="224">
        <v>0</v>
      </c>
      <c r="K112" s="223">
        <v>0</v>
      </c>
      <c r="L112" s="203"/>
      <c r="N112" s="203"/>
    </row>
    <row r="113" spans="1:158" s="211" customFormat="1" x14ac:dyDescent="0.25">
      <c r="A113" s="236" t="s">
        <v>863</v>
      </c>
      <c r="B113" s="223">
        <f>'Corporate Services'!G48</f>
        <v>0</v>
      </c>
      <c r="C113" s="224">
        <f>'Corporate Services'!H48</f>
        <v>0</v>
      </c>
      <c r="D113" s="224">
        <f>'Corporate Services'!I48</f>
        <v>0</v>
      </c>
      <c r="E113" s="224">
        <f>'Corporate Services'!J48</f>
        <v>0</v>
      </c>
      <c r="F113" s="223">
        <f>'Corporate Services'!K48</f>
        <v>0</v>
      </c>
      <c r="G113" s="217">
        <v>0</v>
      </c>
      <c r="H113" s="223">
        <f t="shared" si="11"/>
        <v>0</v>
      </c>
      <c r="I113" s="225">
        <f>'Corporate Services'!L48</f>
        <v>15000</v>
      </c>
      <c r="J113" s="224">
        <f>'Corporate Services'!M48</f>
        <v>15660</v>
      </c>
      <c r="K113" s="223">
        <f>'Corporate Services'!N48</f>
        <v>16364.699999999999</v>
      </c>
      <c r="L113" s="203"/>
      <c r="N113" s="203"/>
    </row>
    <row r="114" spans="1:158" s="211" customFormat="1" x14ac:dyDescent="0.25">
      <c r="A114" s="222" t="s">
        <v>1217</v>
      </c>
      <c r="B114" s="223">
        <f>'Executive Mayor'!G54</f>
        <v>50000</v>
      </c>
      <c r="C114" s="224">
        <f>'Executive Mayor'!H54</f>
        <v>0</v>
      </c>
      <c r="D114" s="224">
        <f>'Executive Mayor'!I54</f>
        <v>50000</v>
      </c>
      <c r="E114" s="224">
        <v>76500</v>
      </c>
      <c r="F114" s="223">
        <v>126500</v>
      </c>
      <c r="G114" s="217">
        <v>0</v>
      </c>
      <c r="H114" s="223">
        <f t="shared" si="11"/>
        <v>126500</v>
      </c>
      <c r="I114" s="225">
        <f>'Executive Mayor'!L54</f>
        <v>102400</v>
      </c>
      <c r="J114" s="223">
        <f>'Executive Mayor'!M54</f>
        <v>106905.60000000001</v>
      </c>
      <c r="K114" s="223">
        <f>'Executive Mayor'!N54</f>
        <v>111716.352</v>
      </c>
      <c r="L114" s="203"/>
      <c r="N114" s="203"/>
    </row>
    <row r="115" spans="1:158" s="211" customFormat="1" x14ac:dyDescent="0.25">
      <c r="A115" s="222" t="s">
        <v>1219</v>
      </c>
      <c r="B115" s="223">
        <f>'Executive Mayor'!G55</f>
        <v>50000</v>
      </c>
      <c r="C115" s="224">
        <f>'Executive Mayor'!H55</f>
        <v>24200</v>
      </c>
      <c r="D115" s="224">
        <f>'Executive Mayor'!I55</f>
        <v>25800</v>
      </c>
      <c r="E115" s="224">
        <f>'Executive Mayor'!J55</f>
        <v>0</v>
      </c>
      <c r="F115" s="223">
        <f>'Executive Mayor'!K55</f>
        <v>50000</v>
      </c>
      <c r="G115" s="217">
        <v>0</v>
      </c>
      <c r="H115" s="223">
        <f t="shared" si="11"/>
        <v>50000</v>
      </c>
      <c r="I115" s="225">
        <f>'Executive Mayor'!L55</f>
        <v>102400</v>
      </c>
      <c r="J115" s="223">
        <f>'Executive Mayor'!M55</f>
        <v>106905.60000000001</v>
      </c>
      <c r="K115" s="223">
        <f>'Executive Mayor'!N55</f>
        <v>111716.352</v>
      </c>
      <c r="L115" s="203"/>
      <c r="N115" s="203"/>
    </row>
    <row r="116" spans="1:158" s="211" customFormat="1" x14ac:dyDescent="0.25">
      <c r="A116" s="222" t="s">
        <v>1218</v>
      </c>
      <c r="B116" s="223">
        <f>'Executive Mayor'!G56</f>
        <v>50000</v>
      </c>
      <c r="C116" s="224">
        <f>'Executive Mayor'!H56</f>
        <v>0</v>
      </c>
      <c r="D116" s="224">
        <f>'Executive Mayor'!I56</f>
        <v>50000</v>
      </c>
      <c r="E116" s="224">
        <v>163150</v>
      </c>
      <c r="F116" s="223">
        <v>213150</v>
      </c>
      <c r="G116" s="217">
        <v>0</v>
      </c>
      <c r="H116" s="223">
        <f t="shared" si="11"/>
        <v>213150</v>
      </c>
      <c r="I116" s="225">
        <f>'Executive Mayor'!L56</f>
        <v>102400</v>
      </c>
      <c r="J116" s="223">
        <f>'Executive Mayor'!M56</f>
        <v>106905.60000000001</v>
      </c>
      <c r="K116" s="223">
        <f>'Executive Mayor'!N56</f>
        <v>111716.352</v>
      </c>
      <c r="L116" s="203"/>
      <c r="N116" s="203"/>
    </row>
    <row r="117" spans="1:158" s="211" customFormat="1" hidden="1" x14ac:dyDescent="0.25">
      <c r="A117" s="191" t="s">
        <v>1191</v>
      </c>
      <c r="B117" s="223">
        <f>'Community Services'!H61</f>
        <v>0</v>
      </c>
      <c r="C117" s="224">
        <f>'Community Services'!I61</f>
        <v>0</v>
      </c>
      <c r="D117" s="224">
        <f>'Community Services'!J61</f>
        <v>0</v>
      </c>
      <c r="E117" s="224">
        <f>'Community Services'!K61</f>
        <v>0</v>
      </c>
      <c r="F117" s="223">
        <f>'Community Services'!L61</f>
        <v>0</v>
      </c>
      <c r="G117" s="217">
        <v>0</v>
      </c>
      <c r="H117" s="223">
        <f t="shared" si="11"/>
        <v>0</v>
      </c>
      <c r="I117" s="225">
        <f>'Community Services'!M61</f>
        <v>0</v>
      </c>
      <c r="J117" s="223">
        <f>'Community Services'!N61</f>
        <v>0</v>
      </c>
      <c r="K117" s="223">
        <f>'Community Services'!O61</f>
        <v>0</v>
      </c>
      <c r="L117" s="203"/>
      <c r="N117" s="203"/>
    </row>
    <row r="118" spans="1:158" s="240" customFormat="1" x14ac:dyDescent="0.25">
      <c r="A118" s="222" t="s">
        <v>1220</v>
      </c>
      <c r="B118" s="223">
        <f>'Executive Mayor'!G57</f>
        <v>0</v>
      </c>
      <c r="C118" s="223">
        <f>'Executive Mayor'!H57</f>
        <v>0</v>
      </c>
      <c r="D118" s="223">
        <f>'Executive Mayor'!I57</f>
        <v>0</v>
      </c>
      <c r="E118" s="223">
        <f>'Executive Mayor'!J57</f>
        <v>0</v>
      </c>
      <c r="F118" s="223">
        <f>'Executive Mayor'!K57</f>
        <v>0</v>
      </c>
      <c r="G118" s="217">
        <v>0</v>
      </c>
      <c r="H118" s="223">
        <f t="shared" si="11"/>
        <v>0</v>
      </c>
      <c r="I118" s="225">
        <f>'Executive Mayor'!L57</f>
        <v>100000</v>
      </c>
      <c r="J118" s="223">
        <f>'Executive Mayor'!M57</f>
        <v>104400</v>
      </c>
      <c r="K118" s="223">
        <f>'Executive Mayor'!N57</f>
        <v>109097.99999999999</v>
      </c>
      <c r="L118" s="239"/>
      <c r="M118" s="239"/>
      <c r="N118" s="239"/>
      <c r="O118" s="239"/>
      <c r="P118" s="239"/>
      <c r="S118" s="241"/>
      <c r="U118" s="242"/>
      <c r="V118" s="242"/>
      <c r="W118" s="242"/>
      <c r="X118" s="242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  <c r="AR118" s="242"/>
      <c r="AS118" s="242"/>
      <c r="AT118" s="242"/>
      <c r="AU118" s="242"/>
      <c r="AV118" s="242"/>
      <c r="AW118" s="242"/>
      <c r="AX118" s="242"/>
      <c r="AY118" s="242"/>
      <c r="AZ118" s="242"/>
      <c r="BA118" s="242"/>
      <c r="BB118" s="242"/>
      <c r="BC118" s="242"/>
      <c r="BD118" s="242"/>
      <c r="BE118" s="242"/>
      <c r="BF118" s="242"/>
      <c r="BG118" s="242"/>
      <c r="BH118" s="242"/>
      <c r="BI118" s="242"/>
      <c r="BJ118" s="242"/>
      <c r="BK118" s="242"/>
      <c r="BL118" s="242"/>
      <c r="BM118" s="242"/>
      <c r="BN118" s="242"/>
      <c r="BO118" s="242"/>
      <c r="BP118" s="242"/>
      <c r="BQ118" s="242"/>
      <c r="BR118" s="242"/>
      <c r="BS118" s="242"/>
      <c r="BT118" s="242"/>
      <c r="BU118" s="242"/>
      <c r="BV118" s="242"/>
      <c r="BW118" s="242"/>
      <c r="BX118" s="242"/>
      <c r="BY118" s="242"/>
      <c r="BZ118" s="242"/>
      <c r="CA118" s="242"/>
      <c r="CB118" s="242"/>
      <c r="CC118" s="242"/>
      <c r="CD118" s="242"/>
      <c r="CE118" s="242"/>
      <c r="CF118" s="242"/>
      <c r="CG118" s="242"/>
      <c r="CH118" s="242"/>
      <c r="CI118" s="242"/>
      <c r="CJ118" s="242"/>
      <c r="CK118" s="242"/>
      <c r="CL118" s="242"/>
      <c r="CM118" s="242"/>
      <c r="CN118" s="242"/>
      <c r="CO118" s="242"/>
      <c r="CP118" s="242"/>
      <c r="CQ118" s="242"/>
      <c r="CR118" s="242"/>
      <c r="CS118" s="242"/>
      <c r="CT118" s="242"/>
      <c r="CU118" s="242"/>
      <c r="CV118" s="242"/>
      <c r="CW118" s="242"/>
      <c r="CX118" s="242"/>
      <c r="CY118" s="242"/>
      <c r="CZ118" s="242"/>
      <c r="DA118" s="242"/>
      <c r="DB118" s="242"/>
      <c r="DC118" s="242"/>
      <c r="DD118" s="242"/>
      <c r="DE118" s="242"/>
      <c r="DF118" s="242"/>
      <c r="DG118" s="242"/>
      <c r="DH118" s="242"/>
      <c r="DI118" s="242"/>
      <c r="DJ118" s="242"/>
      <c r="DK118" s="242"/>
      <c r="DL118" s="242"/>
      <c r="DM118" s="242"/>
      <c r="DN118" s="242"/>
      <c r="DO118" s="242"/>
      <c r="DP118" s="242"/>
      <c r="DQ118" s="242"/>
      <c r="DR118" s="242"/>
      <c r="DS118" s="242"/>
      <c r="DT118" s="242"/>
      <c r="DU118" s="242"/>
      <c r="DV118" s="242"/>
      <c r="DW118" s="242"/>
      <c r="DX118" s="242"/>
      <c r="DY118" s="242"/>
      <c r="DZ118" s="242"/>
      <c r="EA118" s="242"/>
      <c r="EB118" s="242"/>
      <c r="EC118" s="242"/>
      <c r="ED118" s="242"/>
      <c r="EE118" s="242"/>
      <c r="EF118" s="242"/>
      <c r="EG118" s="242"/>
      <c r="EH118" s="242"/>
      <c r="EI118" s="242"/>
      <c r="EJ118" s="242"/>
      <c r="EK118" s="242"/>
      <c r="EL118" s="242"/>
      <c r="EM118" s="242"/>
      <c r="EN118" s="242"/>
      <c r="EO118" s="242"/>
      <c r="EP118" s="242"/>
      <c r="EQ118" s="242"/>
      <c r="ER118" s="242"/>
      <c r="ES118" s="242"/>
      <c r="ET118" s="242"/>
      <c r="EU118" s="242"/>
      <c r="EV118" s="242"/>
      <c r="EW118" s="242"/>
      <c r="EX118" s="242"/>
      <c r="EY118" s="242"/>
      <c r="EZ118" s="242"/>
      <c r="FA118" s="242"/>
      <c r="FB118" s="242"/>
    </row>
    <row r="119" spans="1:158" s="211" customFormat="1" x14ac:dyDescent="0.25">
      <c r="A119" s="222" t="s">
        <v>1222</v>
      </c>
      <c r="B119" s="223">
        <f>'Executive Mayor'!G58</f>
        <v>0</v>
      </c>
      <c r="C119" s="224">
        <f>'Executive Mayor'!H58</f>
        <v>0</v>
      </c>
      <c r="D119" s="224">
        <f>'Executive Mayor'!I58</f>
        <v>0</v>
      </c>
      <c r="E119" s="224">
        <f>'Executive Mayor'!J58</f>
        <v>0</v>
      </c>
      <c r="F119" s="223">
        <f>'Executive Mayor'!K58</f>
        <v>0</v>
      </c>
      <c r="G119" s="217">
        <v>0</v>
      </c>
      <c r="H119" s="223">
        <f t="shared" si="11"/>
        <v>0</v>
      </c>
      <c r="I119" s="217">
        <f>'Executive Mayor'!L58</f>
        <v>50000</v>
      </c>
      <c r="J119" s="224">
        <f>'Executive Mayor'!M58</f>
        <v>52200</v>
      </c>
      <c r="K119" s="223">
        <f>'Executive Mayor'!N58</f>
        <v>54548.999999999993</v>
      </c>
      <c r="L119" s="203"/>
      <c r="N119" s="203"/>
    </row>
    <row r="120" spans="1:158" s="211" customFormat="1" x14ac:dyDescent="0.25">
      <c r="A120" s="222" t="s">
        <v>1221</v>
      </c>
      <c r="B120" s="223">
        <f>'Executive Mayor'!G59</f>
        <v>0</v>
      </c>
      <c r="C120" s="224">
        <f>'Executive Mayor'!H59</f>
        <v>126950</v>
      </c>
      <c r="D120" s="224">
        <f>'Executive Mayor'!I59</f>
        <v>-126950</v>
      </c>
      <c r="E120" s="224">
        <f>'Executive Mayor'!J59</f>
        <v>226950</v>
      </c>
      <c r="F120" s="223">
        <f>'Executive Mayor'!K59</f>
        <v>226950</v>
      </c>
      <c r="G120" s="217">
        <v>0</v>
      </c>
      <c r="H120" s="223">
        <f t="shared" si="11"/>
        <v>226950</v>
      </c>
      <c r="I120" s="217">
        <f>'Executive Mayor'!L59</f>
        <v>237843.6</v>
      </c>
      <c r="J120" s="224">
        <f>'Executive Mayor'!M59</f>
        <v>230000</v>
      </c>
      <c r="K120" s="223">
        <f>'Executive Mayor'!N59</f>
        <v>230000</v>
      </c>
      <c r="L120" s="203"/>
      <c r="N120" s="203"/>
    </row>
    <row r="121" spans="1:158" x14ac:dyDescent="0.25">
      <c r="A121" s="222" t="s">
        <v>1224</v>
      </c>
      <c r="B121" s="223">
        <f>'Office of the MM'!G43</f>
        <v>960000</v>
      </c>
      <c r="C121" s="224">
        <f>'Office of the MM'!H43</f>
        <v>280655.13</v>
      </c>
      <c r="D121" s="224">
        <f>'Office of the MM'!I43</f>
        <v>679344.87</v>
      </c>
      <c r="E121" s="224">
        <f>'Office of the MM'!J43</f>
        <v>0</v>
      </c>
      <c r="F121" s="223">
        <f>'Office of the MM'!K43</f>
        <v>960000</v>
      </c>
      <c r="G121" s="217">
        <v>0</v>
      </c>
      <c r="H121" s="223">
        <f t="shared" si="11"/>
        <v>960000</v>
      </c>
      <c r="I121" s="217">
        <f>'Office of the MM'!L43</f>
        <v>960000</v>
      </c>
      <c r="J121" s="224">
        <f>'Office of the MM'!M43</f>
        <v>970000</v>
      </c>
      <c r="K121" s="223">
        <f>'Office of the MM'!N43</f>
        <v>980000</v>
      </c>
    </row>
    <row r="122" spans="1:158" x14ac:dyDescent="0.25">
      <c r="A122" s="222" t="s">
        <v>1223</v>
      </c>
      <c r="B122" s="223">
        <f>'Office of the MM'!G44</f>
        <v>1000000</v>
      </c>
      <c r="C122" s="224">
        <f>'Office of the MM'!H44</f>
        <v>967000</v>
      </c>
      <c r="D122" s="224">
        <f>'Office of the MM'!I44</f>
        <v>33000</v>
      </c>
      <c r="E122" s="224">
        <f>'Office of the MM'!J44</f>
        <v>0</v>
      </c>
      <c r="F122" s="223">
        <f>'Office of the MM'!K44</f>
        <v>1000000</v>
      </c>
      <c r="G122" s="217">
        <v>0</v>
      </c>
      <c r="H122" s="223">
        <f t="shared" si="11"/>
        <v>1000000</v>
      </c>
      <c r="I122" s="217">
        <f>'Office of the MM'!L44</f>
        <v>1000000</v>
      </c>
      <c r="J122" s="224">
        <f>'Office of the MM'!M44</f>
        <v>1000000</v>
      </c>
      <c r="K122" s="223">
        <f>'Office of the MM'!N44</f>
        <v>1000000</v>
      </c>
    </row>
    <row r="123" spans="1:158" x14ac:dyDescent="0.25">
      <c r="A123" s="222" t="s">
        <v>1225</v>
      </c>
      <c r="B123" s="223">
        <f>'Office of the MM'!G45</f>
        <v>600000</v>
      </c>
      <c r="C123" s="223">
        <f>'Office of the MM'!H45</f>
        <v>361702.13</v>
      </c>
      <c r="D123" s="223">
        <f>'Office of the MM'!I45</f>
        <v>238297.87</v>
      </c>
      <c r="E123" s="223">
        <f>'Office of the MM'!J45</f>
        <v>0</v>
      </c>
      <c r="F123" s="223">
        <f>'Office of the MM'!K45</f>
        <v>600000</v>
      </c>
      <c r="G123" s="217">
        <v>0</v>
      </c>
      <c r="H123" s="223">
        <f t="shared" si="11"/>
        <v>600000</v>
      </c>
      <c r="I123" s="225">
        <f>'Office of the MM'!L45</f>
        <v>650000</v>
      </c>
      <c r="J123" s="223">
        <f>'Office of the MM'!M45</f>
        <v>650000</v>
      </c>
      <c r="K123" s="223">
        <f>'Office of the MM'!N45</f>
        <v>650000</v>
      </c>
    </row>
    <row r="124" spans="1:158" x14ac:dyDescent="0.25">
      <c r="A124" s="222" t="s">
        <v>1226</v>
      </c>
      <c r="B124" s="224">
        <f>'Office of the MM'!G61</f>
        <v>0</v>
      </c>
      <c r="C124" s="224">
        <f>'Office of the MM'!H61</f>
        <v>0</v>
      </c>
      <c r="D124" s="224">
        <f>'Office of the MM'!I61</f>
        <v>0</v>
      </c>
      <c r="E124" s="224">
        <f>'Office of the MM'!J61</f>
        <v>0</v>
      </c>
      <c r="F124" s="223">
        <f>'Office of the MM'!K61</f>
        <v>0</v>
      </c>
      <c r="G124" s="217">
        <v>0</v>
      </c>
      <c r="H124" s="223">
        <f t="shared" si="11"/>
        <v>0</v>
      </c>
      <c r="I124" s="217">
        <f>'Office of the MM'!L61</f>
        <v>400000</v>
      </c>
      <c r="J124" s="224">
        <f>'Office of the MM'!M61</f>
        <v>500000</v>
      </c>
      <c r="K124" s="223">
        <f>'Office of the MM'!N61</f>
        <v>400000</v>
      </c>
    </row>
    <row r="125" spans="1:158" hidden="1" x14ac:dyDescent="0.25">
      <c r="A125" s="191" t="s">
        <v>994</v>
      </c>
      <c r="B125" s="224">
        <f>'Office of the MM'!G48</f>
        <v>0</v>
      </c>
      <c r="C125" s="224">
        <f>'Office of the MM'!H48</f>
        <v>0</v>
      </c>
      <c r="D125" s="224">
        <f>'Office of the MM'!I48</f>
        <v>0</v>
      </c>
      <c r="E125" s="224">
        <f>'Office of the MM'!J48</f>
        <v>0</v>
      </c>
      <c r="F125" s="223">
        <f>'Office of the MM'!K48</f>
        <v>0</v>
      </c>
      <c r="G125" s="217">
        <v>0</v>
      </c>
      <c r="H125" s="223">
        <f t="shared" si="11"/>
        <v>0</v>
      </c>
      <c r="I125" s="217">
        <f>'Office of the MM'!L48</f>
        <v>0</v>
      </c>
      <c r="J125" s="224">
        <f>'Office of the MM'!M48</f>
        <v>0</v>
      </c>
      <c r="K125" s="223">
        <f>'Office of the MM'!N48</f>
        <v>0</v>
      </c>
    </row>
    <row r="126" spans="1:158" s="211" customFormat="1" x14ac:dyDescent="0.25">
      <c r="A126" s="222" t="s">
        <v>1197</v>
      </c>
      <c r="B126" s="224">
        <f>'Executive Mayor'!G60</f>
        <v>0</v>
      </c>
      <c r="C126" s="224">
        <f>'Executive Mayor'!H60</f>
        <v>0</v>
      </c>
      <c r="D126" s="224">
        <f>'Executive Mayor'!I60</f>
        <v>0</v>
      </c>
      <c r="E126" s="224">
        <f>'Executive Mayor'!J60</f>
        <v>0</v>
      </c>
      <c r="F126" s="223">
        <f>'Executive Mayor'!K60</f>
        <v>0</v>
      </c>
      <c r="G126" s="217">
        <v>0</v>
      </c>
      <c r="H126" s="223">
        <f t="shared" si="11"/>
        <v>0</v>
      </c>
      <c r="I126" s="217">
        <f>'Executive Mayor'!L60</f>
        <v>20000</v>
      </c>
      <c r="J126" s="224">
        <f>'Executive Mayor'!M60</f>
        <v>50000</v>
      </c>
      <c r="K126" s="223">
        <f>'Executive Mayor'!N60</f>
        <v>100000</v>
      </c>
      <c r="L126" s="203"/>
      <c r="N126" s="203"/>
    </row>
    <row r="127" spans="1:158" hidden="1" x14ac:dyDescent="0.25">
      <c r="A127" s="222" t="s">
        <v>945</v>
      </c>
      <c r="B127" s="224">
        <v>0</v>
      </c>
      <c r="C127" s="224">
        <v>0</v>
      </c>
      <c r="D127" s="224">
        <v>0</v>
      </c>
      <c r="E127" s="224">
        <v>0</v>
      </c>
      <c r="F127" s="223">
        <v>0</v>
      </c>
      <c r="G127" s="217">
        <v>0</v>
      </c>
      <c r="H127" s="223">
        <f t="shared" si="11"/>
        <v>0</v>
      </c>
      <c r="I127" s="217">
        <v>0</v>
      </c>
      <c r="J127" s="224">
        <v>0</v>
      </c>
      <c r="K127" s="223">
        <v>0</v>
      </c>
    </row>
    <row r="128" spans="1:158" x14ac:dyDescent="0.25">
      <c r="A128" s="222" t="s">
        <v>882</v>
      </c>
      <c r="B128" s="224">
        <f>'Community Services'!H62</f>
        <v>80000</v>
      </c>
      <c r="C128" s="224">
        <f>'Community Services'!I62</f>
        <v>0</v>
      </c>
      <c r="D128" s="224">
        <f>'Community Services'!J62</f>
        <v>80000</v>
      </c>
      <c r="E128" s="224">
        <f>'Community Services'!K62</f>
        <v>-60000</v>
      </c>
      <c r="F128" s="223">
        <f>'Community Services'!L62</f>
        <v>20000</v>
      </c>
      <c r="G128" s="217">
        <v>0</v>
      </c>
      <c r="H128" s="223">
        <f t="shared" si="11"/>
        <v>20000</v>
      </c>
      <c r="I128" s="217">
        <f>'Community Services'!M62</f>
        <v>0</v>
      </c>
      <c r="J128" s="224">
        <f>'Community Services'!N62</f>
        <v>0</v>
      </c>
      <c r="K128" s="223">
        <f>'Community Services'!O62</f>
        <v>0</v>
      </c>
    </row>
    <row r="129" spans="1:14" hidden="1" x14ac:dyDescent="0.25">
      <c r="A129" s="222" t="s">
        <v>962</v>
      </c>
      <c r="B129" s="224">
        <f>'Community Services'!H63</f>
        <v>0</v>
      </c>
      <c r="C129" s="224">
        <f>'Community Services'!I63</f>
        <v>0</v>
      </c>
      <c r="D129" s="224">
        <f>'Community Services'!J63</f>
        <v>0</v>
      </c>
      <c r="E129" s="224">
        <f>'Community Services'!K63</f>
        <v>0</v>
      </c>
      <c r="F129" s="223">
        <f>'Community Services'!L63</f>
        <v>0</v>
      </c>
      <c r="G129" s="217">
        <v>0</v>
      </c>
      <c r="H129" s="223">
        <f t="shared" si="11"/>
        <v>0</v>
      </c>
      <c r="I129" s="217">
        <f>'Community Services'!M63</f>
        <v>0</v>
      </c>
      <c r="J129" s="224">
        <f>'Community Services'!N63</f>
        <v>0</v>
      </c>
      <c r="K129" s="223">
        <f>'Community Services'!O63</f>
        <v>0</v>
      </c>
    </row>
    <row r="130" spans="1:14" ht="18" customHeight="1" x14ac:dyDescent="0.25">
      <c r="A130" s="222" t="s">
        <v>163</v>
      </c>
      <c r="B130" s="224">
        <f>Finance!G46</f>
        <v>483662</v>
      </c>
      <c r="C130" s="224">
        <f>Finance!H46</f>
        <v>676501.92</v>
      </c>
      <c r="D130" s="224">
        <f>Finance!I46</f>
        <v>-192839.92000000004</v>
      </c>
      <c r="E130" s="224">
        <f>Finance!J46</f>
        <v>342840</v>
      </c>
      <c r="F130" s="223">
        <f>Finance!K46</f>
        <v>826502</v>
      </c>
      <c r="G130" s="217">
        <f>Infrastructure!L64</f>
        <v>150000</v>
      </c>
      <c r="H130" s="223">
        <f t="shared" si="11"/>
        <v>976502</v>
      </c>
      <c r="I130" s="217">
        <f>Finance!L46+Infrastructure!N64</f>
        <v>1023374.096</v>
      </c>
      <c r="J130" s="224">
        <f>Finance!M46+Infrastructure!O64</f>
        <v>1068402.5562239999</v>
      </c>
      <c r="K130" s="224">
        <f>Finance!N46+Infrastructure!P64</f>
        <v>1116480.67125408</v>
      </c>
      <c r="L130" s="204"/>
    </row>
    <row r="131" spans="1:14" x14ac:dyDescent="0.25">
      <c r="A131" s="236" t="s">
        <v>979</v>
      </c>
      <c r="B131" s="224">
        <f>'Office of the MM'!G46</f>
        <v>560000</v>
      </c>
      <c r="C131" s="224">
        <f>'Office of the MM'!H46</f>
        <v>0</v>
      </c>
      <c r="D131" s="224">
        <f>'Office of the MM'!I46</f>
        <v>560000</v>
      </c>
      <c r="E131" s="224">
        <f>'Office of the MM'!J46</f>
        <v>0</v>
      </c>
      <c r="F131" s="223">
        <f>'Office of the MM'!K46</f>
        <v>560000</v>
      </c>
      <c r="G131" s="217">
        <v>0</v>
      </c>
      <c r="H131" s="223">
        <f t="shared" si="11"/>
        <v>560000</v>
      </c>
      <c r="I131" s="217">
        <f>'Office of the MM'!L46</f>
        <v>586880</v>
      </c>
      <c r="J131" s="224">
        <f>'Office of the MM'!M46</f>
        <v>600000</v>
      </c>
      <c r="K131" s="223">
        <f>'Office of the MM'!N46</f>
        <v>600000</v>
      </c>
    </row>
    <row r="132" spans="1:14" hidden="1" x14ac:dyDescent="0.25">
      <c r="A132" s="236" t="s">
        <v>1269</v>
      </c>
      <c r="B132" s="224"/>
      <c r="C132" s="224"/>
      <c r="D132" s="224"/>
      <c r="E132" s="224"/>
      <c r="F132" s="223"/>
      <c r="G132" s="217">
        <v>0</v>
      </c>
      <c r="H132" s="223">
        <f t="shared" si="11"/>
        <v>0</v>
      </c>
      <c r="I132" s="217">
        <f>'Corporate Services'!L49</f>
        <v>15000</v>
      </c>
      <c r="J132" s="224">
        <f>'Corporate Services'!M49</f>
        <v>15660</v>
      </c>
      <c r="K132" s="223">
        <f>'Corporate Services'!N49</f>
        <v>16364.699999999999</v>
      </c>
    </row>
    <row r="133" spans="1:14" x14ac:dyDescent="0.25">
      <c r="A133" s="222" t="s">
        <v>105</v>
      </c>
      <c r="B133" s="224">
        <f>'Office of the MM'!G47</f>
        <v>2028169</v>
      </c>
      <c r="C133" s="224">
        <f>'Office of the MM'!H47</f>
        <v>2493120.0699999998</v>
      </c>
      <c r="D133" s="224">
        <f>'Office of the MM'!I47</f>
        <v>-464951.06999999983</v>
      </c>
      <c r="E133" s="224">
        <f>'Office of the MM'!J47</f>
        <v>1500000</v>
      </c>
      <c r="F133" s="223">
        <f>'Office of the MM'!K47</f>
        <v>3528169</v>
      </c>
      <c r="G133" s="217">
        <v>0</v>
      </c>
      <c r="H133" s="223">
        <f t="shared" si="11"/>
        <v>3528169</v>
      </c>
      <c r="I133" s="217">
        <f>'Office of the MM'!L47</f>
        <v>3547521.1120000002</v>
      </c>
      <c r="J133" s="224">
        <f>'Office of the MM'!M47</f>
        <v>3200000</v>
      </c>
      <c r="K133" s="223">
        <f>'Office of the MM'!N47</f>
        <v>3200000</v>
      </c>
    </row>
    <row r="134" spans="1:14" x14ac:dyDescent="0.25">
      <c r="A134" s="191" t="s">
        <v>1199</v>
      </c>
      <c r="B134" s="243">
        <f>'Executive Mayor'!G61</f>
        <v>0</v>
      </c>
      <c r="C134" s="244">
        <f>'Executive Mayor'!H61</f>
        <v>0</v>
      </c>
      <c r="D134" s="244">
        <f>'Executive Mayor'!I61</f>
        <v>0</v>
      </c>
      <c r="E134" s="245">
        <f>'Executive Mayor'!J61</f>
        <v>0</v>
      </c>
      <c r="F134" s="246">
        <f>'Executive Mayor'!K61</f>
        <v>0</v>
      </c>
      <c r="G134" s="217">
        <v>0</v>
      </c>
      <c r="H134" s="223">
        <f t="shared" si="11"/>
        <v>0</v>
      </c>
      <c r="I134" s="239">
        <f>'Executive Mayor'!L61</f>
        <v>80000</v>
      </c>
      <c r="J134" s="237">
        <f>'Executive Mayor'!M61</f>
        <v>100000</v>
      </c>
      <c r="K134" s="238">
        <f>'Executive Mayor'!N61</f>
        <v>100000</v>
      </c>
    </row>
    <row r="135" spans="1:14" x14ac:dyDescent="0.25">
      <c r="A135" s="222" t="s">
        <v>980</v>
      </c>
      <c r="B135" s="224">
        <f>'Corporate Services'!G52</f>
        <v>496800</v>
      </c>
      <c r="C135" s="224">
        <f>'Corporate Services'!H52</f>
        <v>251652.17</v>
      </c>
      <c r="D135" s="224">
        <f>'Corporate Services'!I52</f>
        <v>245147.83</v>
      </c>
      <c r="E135" s="224">
        <f>'Corporate Services'!J52</f>
        <v>0</v>
      </c>
      <c r="F135" s="223">
        <f>'Corporate Services'!K52</f>
        <v>496800</v>
      </c>
      <c r="G135" s="217">
        <v>0</v>
      </c>
      <c r="H135" s="223">
        <f t="shared" si="11"/>
        <v>496800</v>
      </c>
      <c r="I135" s="217">
        <f>'Corporate Services'!L52</f>
        <v>496800</v>
      </c>
      <c r="J135" s="224">
        <f>'Corporate Services'!M52</f>
        <v>500000</v>
      </c>
      <c r="K135" s="223">
        <f>'Corporate Services'!N52</f>
        <v>500000</v>
      </c>
    </row>
    <row r="136" spans="1:14" x14ac:dyDescent="0.25">
      <c r="A136" s="222" t="s">
        <v>567</v>
      </c>
      <c r="B136" s="224">
        <f>'Corporate Services'!G50+Infrastructure!G38</f>
        <v>155850</v>
      </c>
      <c r="C136" s="224">
        <f>'Corporate Services'!H50+Infrastructure!H38</f>
        <v>254600</v>
      </c>
      <c r="D136" s="224">
        <f>'Corporate Services'!I50+Infrastructure!I38</f>
        <v>-98750</v>
      </c>
      <c r="E136" s="224">
        <f>'Corporate Services'!J50+Infrastructure!J38</f>
        <v>731000</v>
      </c>
      <c r="F136" s="223">
        <f>'Corporate Services'!K50+Infrastructure!K38</f>
        <v>886850</v>
      </c>
      <c r="G136" s="217">
        <v>0</v>
      </c>
      <c r="H136" s="223">
        <f t="shared" ref="H136:H199" si="12">F136+G136</f>
        <v>886850</v>
      </c>
      <c r="I136" s="217">
        <f>'Corporate Services'!L50+Infrastructure!N38</f>
        <v>500000</v>
      </c>
      <c r="J136" s="224">
        <f>'Corporate Services'!M50+Infrastructure!O38</f>
        <v>522000</v>
      </c>
      <c r="K136" s="223">
        <f>'Corporate Services'!N50+Infrastructure!P38</f>
        <v>400000</v>
      </c>
    </row>
    <row r="137" spans="1:14" x14ac:dyDescent="0.25">
      <c r="A137" s="222" t="s">
        <v>568</v>
      </c>
      <c r="B137" s="224">
        <f>'Corporate Services'!G51</f>
        <v>673659</v>
      </c>
      <c r="C137" s="224">
        <f>'Corporate Services'!H51</f>
        <v>382992.53</v>
      </c>
      <c r="D137" s="224">
        <f>'Corporate Services'!I51</f>
        <v>290666.46999999997</v>
      </c>
      <c r="E137" s="224">
        <f>'Corporate Services'!J51</f>
        <v>47900</v>
      </c>
      <c r="F137" s="223">
        <f>'Corporate Services'!K51</f>
        <v>721559</v>
      </c>
      <c r="G137" s="217">
        <v>0</v>
      </c>
      <c r="H137" s="223">
        <f t="shared" si="12"/>
        <v>721559</v>
      </c>
      <c r="I137" s="217">
        <f>'Corporate Services'!L51</f>
        <v>706193.83200000005</v>
      </c>
      <c r="J137" s="224">
        <f>'Corporate Services'!M51</f>
        <v>500000</v>
      </c>
      <c r="K137" s="223">
        <f>'Corporate Services'!N51</f>
        <v>522499.99999999994</v>
      </c>
    </row>
    <row r="138" spans="1:14" x14ac:dyDescent="0.25">
      <c r="A138" s="222" t="s">
        <v>239</v>
      </c>
      <c r="B138" s="224">
        <f>'Corporate Services'!G53</f>
        <v>285057</v>
      </c>
      <c r="C138" s="224">
        <f>'Corporate Services'!H53</f>
        <v>116354.95</v>
      </c>
      <c r="D138" s="224">
        <f>'Corporate Services'!I53</f>
        <v>168702.05</v>
      </c>
      <c r="E138" s="224">
        <f>'Corporate Services'!J53</f>
        <v>0</v>
      </c>
      <c r="F138" s="223">
        <f>'Corporate Services'!K53</f>
        <v>285057</v>
      </c>
      <c r="G138" s="217">
        <v>0</v>
      </c>
      <c r="H138" s="223">
        <f t="shared" si="12"/>
        <v>285057</v>
      </c>
      <c r="I138" s="217">
        <f>'Corporate Services'!L53</f>
        <v>200000</v>
      </c>
      <c r="J138" s="224">
        <f>'Corporate Services'!M53</f>
        <v>208800</v>
      </c>
      <c r="K138" s="223">
        <f>'Corporate Services'!N53</f>
        <v>218195.99999999997</v>
      </c>
    </row>
    <row r="139" spans="1:14" x14ac:dyDescent="0.25">
      <c r="A139" s="236" t="s">
        <v>862</v>
      </c>
      <c r="B139" s="224">
        <f>'Community Services'!H64</f>
        <v>250000</v>
      </c>
      <c r="C139" s="224">
        <f>'Community Services'!I64</f>
        <v>0</v>
      </c>
      <c r="D139" s="224">
        <f>'Community Services'!J64</f>
        <v>250000</v>
      </c>
      <c r="E139" s="224">
        <f>'Community Services'!K64</f>
        <v>0</v>
      </c>
      <c r="F139" s="223">
        <f>'Community Services'!L64</f>
        <v>250000</v>
      </c>
      <c r="G139" s="217">
        <v>0</v>
      </c>
      <c r="H139" s="223">
        <f t="shared" si="12"/>
        <v>250000</v>
      </c>
      <c r="I139" s="217">
        <f>'Community Services'!M64</f>
        <v>64110</v>
      </c>
      <c r="J139" s="224">
        <f>'Community Services'!N64</f>
        <v>100000</v>
      </c>
      <c r="K139" s="223">
        <f>'Community Services'!O64</f>
        <v>100000</v>
      </c>
    </row>
    <row r="140" spans="1:14" x14ac:dyDescent="0.25">
      <c r="A140" s="222" t="s">
        <v>943</v>
      </c>
      <c r="B140" s="224">
        <f>'Corporate Services'!G54</f>
        <v>93510</v>
      </c>
      <c r="C140" s="224">
        <f>'Corporate Services'!H54</f>
        <v>0</v>
      </c>
      <c r="D140" s="224">
        <f>'Corporate Services'!I54</f>
        <v>93510</v>
      </c>
      <c r="E140" s="224">
        <f>'Corporate Services'!J54</f>
        <v>0</v>
      </c>
      <c r="F140" s="223">
        <f>'Corporate Services'!K54</f>
        <v>93510</v>
      </c>
      <c r="G140" s="217">
        <v>0</v>
      </c>
      <c r="H140" s="223">
        <f t="shared" si="12"/>
        <v>93510</v>
      </c>
      <c r="I140" s="217">
        <f>'Corporate Services'!L54</f>
        <v>0</v>
      </c>
      <c r="J140" s="224">
        <f>'Corporate Services'!M54</f>
        <v>0</v>
      </c>
      <c r="K140" s="223">
        <f>'Corporate Services'!N54</f>
        <v>0</v>
      </c>
    </row>
    <row r="141" spans="1:14" hidden="1" x14ac:dyDescent="0.25">
      <c r="A141" s="222" t="s">
        <v>1248</v>
      </c>
      <c r="B141" s="224">
        <f>'Executive Mayor'!G62</f>
        <v>0</v>
      </c>
      <c r="C141" s="224">
        <f>'Executive Mayor'!H62</f>
        <v>0</v>
      </c>
      <c r="D141" s="224">
        <f>'Executive Mayor'!I62</f>
        <v>0</v>
      </c>
      <c r="E141" s="224">
        <f>'Executive Mayor'!J62</f>
        <v>0</v>
      </c>
      <c r="F141" s="223">
        <f>'Executive Mayor'!K62</f>
        <v>0</v>
      </c>
      <c r="G141" s="217"/>
      <c r="H141" s="223">
        <f t="shared" si="12"/>
        <v>0</v>
      </c>
      <c r="I141" s="217">
        <f>'Executive Mayor'!L62</f>
        <v>0</v>
      </c>
      <c r="J141" s="224">
        <f>'Executive Mayor'!M62</f>
        <v>0</v>
      </c>
      <c r="K141" s="223">
        <f>'Executive Mayor'!N62</f>
        <v>0</v>
      </c>
    </row>
    <row r="142" spans="1:14" hidden="1" x14ac:dyDescent="0.25">
      <c r="A142" s="222" t="s">
        <v>1250</v>
      </c>
      <c r="B142" s="224">
        <f>'Executive Mayor'!G63</f>
        <v>0</v>
      </c>
      <c r="C142" s="224">
        <f>'Executive Mayor'!H63</f>
        <v>0</v>
      </c>
      <c r="D142" s="224">
        <f>'Executive Mayor'!I63</f>
        <v>0</v>
      </c>
      <c r="E142" s="224">
        <f>'Executive Mayor'!J63</f>
        <v>0</v>
      </c>
      <c r="F142" s="223">
        <f>'Executive Mayor'!K63</f>
        <v>0</v>
      </c>
      <c r="G142" s="217"/>
      <c r="H142" s="223">
        <f t="shared" si="12"/>
        <v>0</v>
      </c>
      <c r="I142" s="217">
        <f>'Executive Mayor'!L63</f>
        <v>0</v>
      </c>
      <c r="J142" s="224">
        <f>'Executive Mayor'!M63</f>
        <v>0</v>
      </c>
      <c r="K142" s="223">
        <f>'Executive Mayor'!N63</f>
        <v>0</v>
      </c>
    </row>
    <row r="143" spans="1:14" s="211" customFormat="1" hidden="1" x14ac:dyDescent="0.25">
      <c r="A143" s="222" t="s">
        <v>1249</v>
      </c>
      <c r="B143" s="224">
        <f>'Executive Mayor'!G64</f>
        <v>0</v>
      </c>
      <c r="C143" s="224">
        <f>'Executive Mayor'!H64</f>
        <v>0</v>
      </c>
      <c r="D143" s="224">
        <f>'Executive Mayor'!I64</f>
        <v>0</v>
      </c>
      <c r="E143" s="224">
        <f>'Executive Mayor'!J64</f>
        <v>0</v>
      </c>
      <c r="F143" s="223">
        <f>'Executive Mayor'!K64</f>
        <v>0</v>
      </c>
      <c r="G143" s="217"/>
      <c r="H143" s="223">
        <f t="shared" si="12"/>
        <v>0</v>
      </c>
      <c r="I143" s="217">
        <f>'Executive Mayor'!L64</f>
        <v>0</v>
      </c>
      <c r="J143" s="223">
        <f>'Executive Mayor'!M64</f>
        <v>0</v>
      </c>
      <c r="K143" s="225">
        <f>'Executive Mayor'!N64</f>
        <v>0</v>
      </c>
      <c r="L143" s="203"/>
      <c r="N143" s="203"/>
    </row>
    <row r="144" spans="1:14" s="211" customFormat="1" x14ac:dyDescent="0.25">
      <c r="A144" s="236" t="s">
        <v>1310</v>
      </c>
      <c r="B144" s="224"/>
      <c r="C144" s="217"/>
      <c r="D144" s="217"/>
      <c r="E144" s="223"/>
      <c r="F144" s="231">
        <f>Infrastructure!K66</f>
        <v>0</v>
      </c>
      <c r="G144" s="217">
        <f>Infrastructure!L66</f>
        <v>80000</v>
      </c>
      <c r="H144" s="223">
        <f t="shared" si="12"/>
        <v>80000</v>
      </c>
      <c r="I144" s="225">
        <f>Infrastructure!N66</f>
        <v>83840</v>
      </c>
      <c r="J144" s="225">
        <f>Infrastructure!O66</f>
        <v>87528.960000000006</v>
      </c>
      <c r="K144" s="225">
        <f>Infrastructure!P66</f>
        <v>91467.763200000001</v>
      </c>
      <c r="L144" s="203"/>
      <c r="N144" s="203"/>
    </row>
    <row r="145" spans="1:14" x14ac:dyDescent="0.25">
      <c r="A145" s="222" t="s">
        <v>1230</v>
      </c>
      <c r="B145" s="224">
        <f>'Executive Mayor'!G65</f>
        <v>100000</v>
      </c>
      <c r="C145" s="224">
        <f>'Executive Mayor'!H65</f>
        <v>122749.8</v>
      </c>
      <c r="D145" s="224">
        <f>'Executive Mayor'!I65</f>
        <v>-22749.800000000003</v>
      </c>
      <c r="E145" s="224">
        <f>'Executive Mayor'!J65</f>
        <v>72750</v>
      </c>
      <c r="F145" s="223">
        <f>'Executive Mayor'!K65</f>
        <v>172750</v>
      </c>
      <c r="G145" s="217">
        <v>0</v>
      </c>
      <c r="H145" s="223">
        <f t="shared" si="12"/>
        <v>172750</v>
      </c>
      <c r="I145" s="217">
        <f>'Executive Mayor'!L65</f>
        <v>181042</v>
      </c>
      <c r="J145" s="223">
        <f>'Executive Mayor'!M65</f>
        <v>189007.848</v>
      </c>
      <c r="K145" s="225">
        <f>'Executive Mayor'!N65</f>
        <v>197513.20116</v>
      </c>
    </row>
    <row r="146" spans="1:14" x14ac:dyDescent="0.25">
      <c r="A146" s="222" t="s">
        <v>1232</v>
      </c>
      <c r="B146" s="224">
        <f>'Executive Mayor'!G66</f>
        <v>100000</v>
      </c>
      <c r="C146" s="224">
        <f>'Executive Mayor'!H66</f>
        <v>92095.65</v>
      </c>
      <c r="D146" s="224">
        <f>'Executive Mayor'!I66</f>
        <v>7904.3500000000058</v>
      </c>
      <c r="E146" s="224">
        <f>'Executive Mayor'!J66</f>
        <v>50000</v>
      </c>
      <c r="F146" s="223">
        <f>'Executive Mayor'!K66</f>
        <v>150000</v>
      </c>
      <c r="G146" s="217">
        <v>0</v>
      </c>
      <c r="H146" s="223">
        <f t="shared" si="12"/>
        <v>150000</v>
      </c>
      <c r="I146" s="217">
        <f>'Executive Mayor'!L66</f>
        <v>157200</v>
      </c>
      <c r="J146" s="223">
        <f>'Executive Mayor'!M66</f>
        <v>164116.80000000002</v>
      </c>
      <c r="K146" s="225">
        <f>'Executive Mayor'!N66</f>
        <v>171502.05600000001</v>
      </c>
    </row>
    <row r="147" spans="1:14" s="211" customFormat="1" x14ac:dyDescent="0.25">
      <c r="A147" s="222" t="s">
        <v>1231</v>
      </c>
      <c r="B147" s="224">
        <f>'Executive Mayor'!G67</f>
        <v>100000</v>
      </c>
      <c r="C147" s="224">
        <f>'Executive Mayor'!H67</f>
        <v>216420</v>
      </c>
      <c r="D147" s="224">
        <f>'Executive Mayor'!I67</f>
        <v>-116420</v>
      </c>
      <c r="E147" s="224">
        <f>'Executive Mayor'!J67</f>
        <v>216120</v>
      </c>
      <c r="F147" s="223">
        <f>'Executive Mayor'!K67</f>
        <v>316120</v>
      </c>
      <c r="G147" s="217">
        <v>0</v>
      </c>
      <c r="H147" s="223">
        <f t="shared" si="12"/>
        <v>316120</v>
      </c>
      <c r="I147" s="217">
        <f>'Executive Mayor'!L67</f>
        <v>331293.76</v>
      </c>
      <c r="J147" s="223">
        <f>'Executive Mayor'!M67</f>
        <v>345870.68544000003</v>
      </c>
      <c r="K147" s="225">
        <f>'Executive Mayor'!N67</f>
        <v>361434.86628479999</v>
      </c>
      <c r="L147" s="203"/>
      <c r="N147" s="203"/>
    </row>
    <row r="148" spans="1:14" s="211" customFormat="1" x14ac:dyDescent="0.25">
      <c r="A148" s="222" t="s">
        <v>1198</v>
      </c>
      <c r="B148" s="224">
        <f>'Executive Mayor'!G68</f>
        <v>0</v>
      </c>
      <c r="C148" s="224">
        <f>'Executive Mayor'!H68</f>
        <v>0</v>
      </c>
      <c r="D148" s="224">
        <f>'Executive Mayor'!I68</f>
        <v>0</v>
      </c>
      <c r="E148" s="224">
        <f>'Executive Mayor'!J68</f>
        <v>0</v>
      </c>
      <c r="F148" s="223">
        <f>'Executive Mayor'!K68</f>
        <v>0</v>
      </c>
      <c r="G148" s="217">
        <v>0</v>
      </c>
      <c r="H148" s="223">
        <f t="shared" si="12"/>
        <v>0</v>
      </c>
      <c r="I148" s="217">
        <f>'Executive Mayor'!L68</f>
        <v>150000</v>
      </c>
      <c r="J148" s="223">
        <f>'Executive Mayor'!M68</f>
        <v>150000</v>
      </c>
      <c r="K148" s="225">
        <f>'Executive Mayor'!N68</f>
        <v>150000</v>
      </c>
      <c r="L148" s="203"/>
      <c r="N148" s="203"/>
    </row>
    <row r="149" spans="1:14" x14ac:dyDescent="0.25">
      <c r="A149" s="222" t="s">
        <v>181</v>
      </c>
      <c r="B149" s="224">
        <f>Finance!G47</f>
        <v>1014057.45933</v>
      </c>
      <c r="C149" s="224">
        <f>Finance!H47</f>
        <v>932251.51</v>
      </c>
      <c r="D149" s="224">
        <f>Finance!I47</f>
        <v>81805.949329999974</v>
      </c>
      <c r="E149" s="224">
        <f>Finance!J47</f>
        <v>0</v>
      </c>
      <c r="F149" s="223">
        <f>Finance!K47</f>
        <v>1014057.45933</v>
      </c>
      <c r="G149" s="217">
        <v>0</v>
      </c>
      <c r="H149" s="223">
        <f t="shared" si="12"/>
        <v>1014057.45933</v>
      </c>
      <c r="I149" s="217">
        <f>Finance!L47</f>
        <v>1062732.2173778401</v>
      </c>
      <c r="J149" s="223">
        <f>Finance!M47</f>
        <v>1109492.434942465</v>
      </c>
      <c r="K149" s="225">
        <f>Finance!N47</f>
        <v>1159419.5945148759</v>
      </c>
    </row>
    <row r="150" spans="1:14" x14ac:dyDescent="0.25">
      <c r="A150" s="222" t="s">
        <v>166</v>
      </c>
      <c r="B150" s="224">
        <f>Finance!G48</f>
        <v>981855</v>
      </c>
      <c r="C150" s="224">
        <f>Finance!H48</f>
        <v>831300.06</v>
      </c>
      <c r="D150" s="224">
        <f>Finance!I48</f>
        <v>150554.93999999994</v>
      </c>
      <c r="E150" s="224">
        <f>Finance!J48</f>
        <v>0</v>
      </c>
      <c r="F150" s="223">
        <f>Finance!K48</f>
        <v>981855</v>
      </c>
      <c r="G150" s="217">
        <v>0</v>
      </c>
      <c r="H150" s="223">
        <f t="shared" si="12"/>
        <v>981855</v>
      </c>
      <c r="I150" s="217">
        <f>Finance!L48</f>
        <v>999911</v>
      </c>
      <c r="J150" s="223">
        <f>Finance!M48</f>
        <v>1043907.084</v>
      </c>
      <c r="K150" s="225">
        <f>Finance!N48</f>
        <v>1090882.9027799999</v>
      </c>
    </row>
    <row r="151" spans="1:14" x14ac:dyDescent="0.25">
      <c r="A151" s="222" t="s">
        <v>523</v>
      </c>
      <c r="B151" s="224">
        <f>Finance!G49</f>
        <v>270350</v>
      </c>
      <c r="C151" s="224">
        <f>Finance!H49</f>
        <v>86215.5</v>
      </c>
      <c r="D151" s="224">
        <f>Finance!I49</f>
        <v>184134.5</v>
      </c>
      <c r="E151" s="224">
        <f>Finance!J49</f>
        <v>0</v>
      </c>
      <c r="F151" s="223">
        <f>Finance!K49</f>
        <v>270350</v>
      </c>
      <c r="G151" s="217">
        <v>0</v>
      </c>
      <c r="H151" s="223">
        <f t="shared" si="12"/>
        <v>270350</v>
      </c>
      <c r="I151" s="217">
        <f>Finance!L49</f>
        <v>302400</v>
      </c>
      <c r="J151" s="223">
        <f>Finance!M49</f>
        <v>315705.60000000003</v>
      </c>
      <c r="K151" s="225">
        <f>Finance!N49</f>
        <v>329912.35200000001</v>
      </c>
    </row>
    <row r="152" spans="1:14" x14ac:dyDescent="0.25">
      <c r="A152" s="222" t="s">
        <v>1227</v>
      </c>
      <c r="B152" s="224">
        <f>'Executive Mayor'!G69</f>
        <v>0</v>
      </c>
      <c r="C152" s="224">
        <f>'Executive Mayor'!H69</f>
        <v>0</v>
      </c>
      <c r="D152" s="224">
        <f>'Executive Mayor'!I69</f>
        <v>0</v>
      </c>
      <c r="E152" s="224">
        <f>'Executive Mayor'!J69</f>
        <v>0</v>
      </c>
      <c r="F152" s="223">
        <f>'Executive Mayor'!K69</f>
        <v>0</v>
      </c>
      <c r="G152" s="217">
        <v>0</v>
      </c>
      <c r="H152" s="223">
        <f t="shared" si="12"/>
        <v>0</v>
      </c>
      <c r="I152" s="217">
        <f>'Executive Mayor'!L69</f>
        <v>50000</v>
      </c>
      <c r="J152" s="223">
        <f>'Executive Mayor'!M69</f>
        <v>52200</v>
      </c>
      <c r="K152" s="225">
        <f>'Executive Mayor'!N69</f>
        <v>54548.999999999993</v>
      </c>
    </row>
    <row r="153" spans="1:14" x14ac:dyDescent="0.25">
      <c r="A153" s="222" t="s">
        <v>1229</v>
      </c>
      <c r="B153" s="224">
        <f>'Executive Mayor'!G70</f>
        <v>0</v>
      </c>
      <c r="C153" s="224">
        <f>'Executive Mayor'!H70</f>
        <v>0</v>
      </c>
      <c r="D153" s="224">
        <f>'Executive Mayor'!I70</f>
        <v>0</v>
      </c>
      <c r="E153" s="224">
        <f>'Executive Mayor'!J70</f>
        <v>0</v>
      </c>
      <c r="F153" s="223">
        <f>'Executive Mayor'!K70</f>
        <v>0</v>
      </c>
      <c r="G153" s="217">
        <v>0</v>
      </c>
      <c r="H153" s="223">
        <f t="shared" si="12"/>
        <v>0</v>
      </c>
      <c r="I153" s="217">
        <f>'Executive Mayor'!L70</f>
        <v>50000</v>
      </c>
      <c r="J153" s="223">
        <f>'Executive Mayor'!M70</f>
        <v>52200</v>
      </c>
      <c r="K153" s="225">
        <f>'Executive Mayor'!N70</f>
        <v>54548.999999999993</v>
      </c>
    </row>
    <row r="154" spans="1:14" x14ac:dyDescent="0.25">
      <c r="A154" s="222" t="s">
        <v>1228</v>
      </c>
      <c r="B154" s="224">
        <f>'Executive Mayor'!G71</f>
        <v>0</v>
      </c>
      <c r="C154" s="224">
        <f>'Executive Mayor'!H71</f>
        <v>0</v>
      </c>
      <c r="D154" s="224">
        <f>'Executive Mayor'!I71</f>
        <v>0</v>
      </c>
      <c r="E154" s="224">
        <f>'Executive Mayor'!J71</f>
        <v>0</v>
      </c>
      <c r="F154" s="223">
        <f>'Executive Mayor'!K71</f>
        <v>0</v>
      </c>
      <c r="G154" s="217">
        <v>0</v>
      </c>
      <c r="H154" s="223">
        <f t="shared" si="12"/>
        <v>0</v>
      </c>
      <c r="I154" s="217">
        <f>'Executive Mayor'!L71</f>
        <v>50000</v>
      </c>
      <c r="J154" s="223">
        <f>'Executive Mayor'!M71</f>
        <v>52200</v>
      </c>
      <c r="K154" s="225">
        <f>'Executive Mayor'!N71</f>
        <v>54548.999999999993</v>
      </c>
    </row>
    <row r="155" spans="1:14" x14ac:dyDescent="0.25">
      <c r="A155" s="191" t="s">
        <v>1210</v>
      </c>
      <c r="B155" s="224">
        <f>Agriculture!G40</f>
        <v>0</v>
      </c>
      <c r="C155" s="224">
        <f>Agriculture!H40</f>
        <v>0</v>
      </c>
      <c r="D155" s="224">
        <f>Agriculture!I40</f>
        <v>0</v>
      </c>
      <c r="E155" s="224">
        <f>Agriculture!J40</f>
        <v>0</v>
      </c>
      <c r="F155" s="223">
        <f>Agriculture!K40</f>
        <v>0</v>
      </c>
      <c r="G155" s="217">
        <v>0</v>
      </c>
      <c r="H155" s="223">
        <f t="shared" si="12"/>
        <v>0</v>
      </c>
      <c r="I155" s="217">
        <f>Agriculture!L40</f>
        <v>50000</v>
      </c>
      <c r="J155" s="223">
        <f>Agriculture!M40</f>
        <v>52200</v>
      </c>
      <c r="K155" s="223">
        <f>Agriculture!N40</f>
        <v>54548.999999999993</v>
      </c>
    </row>
    <row r="156" spans="1:14" x14ac:dyDescent="0.25">
      <c r="A156" s="222" t="s">
        <v>963</v>
      </c>
      <c r="B156" s="224">
        <f>'Executive Mayor'!G51</f>
        <v>212787</v>
      </c>
      <c r="C156" s="224">
        <f>'Executive Mayor'!H51</f>
        <v>0</v>
      </c>
      <c r="D156" s="224">
        <f>'Executive Mayor'!I51</f>
        <v>212787</v>
      </c>
      <c r="E156" s="224">
        <f>'Executive Mayor'!J51</f>
        <v>0</v>
      </c>
      <c r="F156" s="223">
        <f>'Executive Mayor'!K51</f>
        <v>212787</v>
      </c>
      <c r="G156" s="217">
        <v>0</v>
      </c>
      <c r="H156" s="223">
        <f t="shared" si="12"/>
        <v>212787</v>
      </c>
      <c r="I156" s="217">
        <f>'Executive Mayor'!L51</f>
        <v>150000</v>
      </c>
      <c r="J156" s="223">
        <f>'Executive Mayor'!M51</f>
        <v>150000</v>
      </c>
      <c r="K156" s="223">
        <f>'Executive Mayor'!N51</f>
        <v>150000</v>
      </c>
    </row>
    <row r="157" spans="1:14" hidden="1" x14ac:dyDescent="0.25">
      <c r="A157" s="222" t="s">
        <v>944</v>
      </c>
      <c r="B157" s="224">
        <f>'Community Services'!H65</f>
        <v>0</v>
      </c>
      <c r="C157" s="224">
        <f>'Community Services'!I65</f>
        <v>0</v>
      </c>
      <c r="D157" s="224">
        <f>'Community Services'!J65</f>
        <v>0</v>
      </c>
      <c r="E157" s="224">
        <f>'Community Services'!K65</f>
        <v>0</v>
      </c>
      <c r="F157" s="223">
        <f>'Community Services'!L65</f>
        <v>0</v>
      </c>
      <c r="G157" s="217">
        <v>0</v>
      </c>
      <c r="H157" s="223">
        <f t="shared" si="12"/>
        <v>0</v>
      </c>
      <c r="I157" s="217">
        <f>'Community Services'!M65</f>
        <v>0</v>
      </c>
      <c r="J157" s="223">
        <f>'Community Services'!N65</f>
        <v>0</v>
      </c>
      <c r="K157" s="223">
        <f>'Community Services'!O65</f>
        <v>0</v>
      </c>
    </row>
    <row r="158" spans="1:14" hidden="1" x14ac:dyDescent="0.25">
      <c r="A158" s="222" t="s">
        <v>999</v>
      </c>
      <c r="B158" s="224">
        <f>IDP!G42</f>
        <v>0</v>
      </c>
      <c r="C158" s="224">
        <f>IDP!H42</f>
        <v>0</v>
      </c>
      <c r="D158" s="224">
        <f>IDP!I42</f>
        <v>0</v>
      </c>
      <c r="E158" s="224">
        <f>IDP!J42</f>
        <v>0</v>
      </c>
      <c r="F158" s="223">
        <f>IDP!K42</f>
        <v>0</v>
      </c>
      <c r="G158" s="217">
        <v>0</v>
      </c>
      <c r="H158" s="223">
        <f t="shared" si="12"/>
        <v>0</v>
      </c>
      <c r="I158" s="217">
        <f>IDP!L42</f>
        <v>0</v>
      </c>
      <c r="J158" s="223">
        <f>IDP!M42</f>
        <v>0</v>
      </c>
      <c r="K158" s="223">
        <f>IDP!N42</f>
        <v>0</v>
      </c>
    </row>
    <row r="159" spans="1:14" x14ac:dyDescent="0.25">
      <c r="A159" s="222" t="s">
        <v>337</v>
      </c>
      <c r="B159" s="224">
        <f>'Community Services'!H66</f>
        <v>21400</v>
      </c>
      <c r="C159" s="224">
        <f>'Community Services'!I66</f>
        <v>0</v>
      </c>
      <c r="D159" s="224">
        <f>'Community Services'!J66</f>
        <v>21400</v>
      </c>
      <c r="E159" s="224">
        <f>'Community Services'!K66</f>
        <v>0</v>
      </c>
      <c r="F159" s="223">
        <f>'Community Services'!L66</f>
        <v>21400</v>
      </c>
      <c r="G159" s="217">
        <v>0</v>
      </c>
      <c r="H159" s="223">
        <f t="shared" si="12"/>
        <v>21400</v>
      </c>
      <c r="I159" s="217">
        <f>'Community Services'!M66</f>
        <v>21400</v>
      </c>
      <c r="J159" s="224">
        <f>'Community Services'!N66</f>
        <v>21400</v>
      </c>
      <c r="K159" s="223">
        <f>'Community Services'!O66</f>
        <v>21400</v>
      </c>
    </row>
    <row r="160" spans="1:14" s="211" customFormat="1" x14ac:dyDescent="0.25">
      <c r="A160" s="222" t="s">
        <v>211</v>
      </c>
      <c r="B160" s="224">
        <f>'Corporate Services'!G55</f>
        <v>1400000</v>
      </c>
      <c r="C160" s="224">
        <f>'Corporate Services'!H55</f>
        <v>523907.66</v>
      </c>
      <c r="D160" s="224">
        <f>'Corporate Services'!I55</f>
        <v>876092.34000000008</v>
      </c>
      <c r="E160" s="224">
        <v>-1392283</v>
      </c>
      <c r="F160" s="223">
        <v>1400000</v>
      </c>
      <c r="G160" s="217">
        <f>Infrastructure!L60</f>
        <v>300000</v>
      </c>
      <c r="H160" s="223">
        <f t="shared" si="12"/>
        <v>1700000</v>
      </c>
      <c r="I160" s="217">
        <f>'Corporate Services'!L55+Infrastructure!N60</f>
        <v>1714400</v>
      </c>
      <c r="J160" s="224">
        <f>'Corporate Services'!M55+Infrastructure!O60</f>
        <v>1789833.6</v>
      </c>
      <c r="K160" s="224">
        <f>'Corporate Services'!N55+Infrastructure!P60</f>
        <v>1770372</v>
      </c>
      <c r="L160" s="204"/>
      <c r="N160" s="203"/>
    </row>
    <row r="161" spans="1:14" s="211" customFormat="1" x14ac:dyDescent="0.25">
      <c r="A161" s="222" t="s">
        <v>1014</v>
      </c>
      <c r="B161" s="224">
        <f>'Executive Mayor'!G77</f>
        <v>0</v>
      </c>
      <c r="C161" s="224">
        <f>'Executive Mayor'!H77</f>
        <v>369000.34</v>
      </c>
      <c r="D161" s="224">
        <f>'Executive Mayor'!I77</f>
        <v>-369000.34</v>
      </c>
      <c r="E161" s="224">
        <f>'Executive Mayor'!J77</f>
        <v>738000</v>
      </c>
      <c r="F161" s="223">
        <f>'Executive Mayor'!K77</f>
        <v>738000</v>
      </c>
      <c r="G161" s="217">
        <v>0</v>
      </c>
      <c r="H161" s="223">
        <f t="shared" si="12"/>
        <v>738000</v>
      </c>
      <c r="I161" s="217">
        <f>'Executive Mayor'!L77</f>
        <v>500000</v>
      </c>
      <c r="J161" s="224">
        <f>'Executive Mayor'!M77</f>
        <v>500000</v>
      </c>
      <c r="K161" s="224">
        <f>'Executive Mayor'!N77</f>
        <v>500000</v>
      </c>
      <c r="L161" s="204"/>
      <c r="N161" s="203"/>
    </row>
    <row r="162" spans="1:14" s="211" customFormat="1" x14ac:dyDescent="0.25">
      <c r="A162" s="222" t="s">
        <v>572</v>
      </c>
      <c r="B162" s="224">
        <f>'Corporate Services'!G56</f>
        <v>1559</v>
      </c>
      <c r="C162" s="224">
        <f>'Corporate Services'!H56</f>
        <v>0</v>
      </c>
      <c r="D162" s="224">
        <f>'Corporate Services'!I56</f>
        <v>1559</v>
      </c>
      <c r="E162" s="224">
        <f>'Corporate Services'!J56</f>
        <v>0</v>
      </c>
      <c r="F162" s="223">
        <f>'Corporate Services'!K56</f>
        <v>1559</v>
      </c>
      <c r="G162" s="217">
        <v>0</v>
      </c>
      <c r="H162" s="223">
        <f t="shared" si="12"/>
        <v>1559</v>
      </c>
      <c r="I162" s="217">
        <f>'Corporate Services'!L56</f>
        <v>1633.8320000000001</v>
      </c>
      <c r="J162" s="224">
        <f>'Corporate Services'!M56</f>
        <v>1705.7206080000001</v>
      </c>
      <c r="K162" s="224">
        <f>'Corporate Services'!N56</f>
        <v>1782.4780353599999</v>
      </c>
      <c r="L162" s="204"/>
      <c r="N162" s="203"/>
    </row>
    <row r="163" spans="1:14" s="211" customFormat="1" x14ac:dyDescent="0.25">
      <c r="A163" s="222" t="s">
        <v>1023</v>
      </c>
      <c r="B163" s="224">
        <v>1500000</v>
      </c>
      <c r="C163" s="224">
        <f>'Executive Mayor'!H79</f>
        <v>285882.61</v>
      </c>
      <c r="D163" s="224">
        <f>'Executive Mayor'!I79</f>
        <v>-285882.61</v>
      </c>
      <c r="E163" s="224">
        <f>'Executive Mayor'!J79</f>
        <v>435883</v>
      </c>
      <c r="F163" s="223">
        <f>'Executive Mayor'!K79+93462</f>
        <v>529345</v>
      </c>
      <c r="G163" s="217">
        <v>0</v>
      </c>
      <c r="H163" s="223">
        <f t="shared" si="12"/>
        <v>529345</v>
      </c>
      <c r="I163" s="217">
        <f>'Executive Mayor'!L79</f>
        <v>550000</v>
      </c>
      <c r="J163" s="224">
        <f>'Executive Mayor'!M79</f>
        <v>300000</v>
      </c>
      <c r="K163" s="224">
        <f>'Executive Mayor'!N79</f>
        <v>300000</v>
      </c>
      <c r="L163" s="204"/>
      <c r="N163" s="203"/>
    </row>
    <row r="164" spans="1:14" s="211" customFormat="1" x14ac:dyDescent="0.25">
      <c r="A164" s="222" t="s">
        <v>1013</v>
      </c>
      <c r="B164" s="224">
        <f>'Executive Mayor'!G80</f>
        <v>0</v>
      </c>
      <c r="C164" s="224">
        <f>'Executive Mayor'!H80</f>
        <v>109200</v>
      </c>
      <c r="D164" s="224">
        <f>'Executive Mayor'!I80</f>
        <v>-109200</v>
      </c>
      <c r="E164" s="224">
        <f>'Executive Mayor'!J80</f>
        <v>218400</v>
      </c>
      <c r="F164" s="223">
        <f>'Executive Mayor'!K80</f>
        <v>218400</v>
      </c>
      <c r="G164" s="217">
        <v>0</v>
      </c>
      <c r="H164" s="223">
        <f t="shared" si="12"/>
        <v>218400</v>
      </c>
      <c r="I164" s="217">
        <f>'Executive Mayor'!L80</f>
        <v>200000</v>
      </c>
      <c r="J164" s="224">
        <f>'Executive Mayor'!M80</f>
        <v>200000</v>
      </c>
      <c r="K164" s="224">
        <f>'Executive Mayor'!N80</f>
        <v>200000</v>
      </c>
      <c r="L164" s="204"/>
      <c r="N164" s="203"/>
    </row>
    <row r="165" spans="1:14" s="211" customFormat="1" x14ac:dyDescent="0.25">
      <c r="A165" s="222" t="s">
        <v>199</v>
      </c>
      <c r="B165" s="224">
        <v>635691</v>
      </c>
      <c r="C165" s="224">
        <f>'Corporate Services'!H44+'Community Services'!I50</f>
        <v>0</v>
      </c>
      <c r="D165" s="224">
        <f>'Corporate Services'!I44+'Community Services'!J50</f>
        <v>0</v>
      </c>
      <c r="E165" s="224">
        <v>400000</v>
      </c>
      <c r="F165" s="223">
        <v>1035692</v>
      </c>
      <c r="G165" s="217">
        <f>Infrastructure!L58</f>
        <v>200000</v>
      </c>
      <c r="H165" s="223">
        <f t="shared" si="12"/>
        <v>1235692</v>
      </c>
      <c r="I165" s="217">
        <f>'Corporate Services'!L57+'Community Services'!M67+Infrastructure!N58</f>
        <v>1031400</v>
      </c>
      <c r="J165" s="224">
        <f>'Corporate Services'!M57+'Community Services'!N67+Infrastructure!O58</f>
        <v>1076781.5999999999</v>
      </c>
      <c r="K165" s="224">
        <f>'Corporate Services'!N57+'Community Services'!O67+Infrastructure!P58</f>
        <v>1023588.372</v>
      </c>
      <c r="L165" s="204"/>
      <c r="N165" s="203"/>
    </row>
    <row r="166" spans="1:14" s="211" customFormat="1" hidden="1" x14ac:dyDescent="0.25">
      <c r="A166" s="222" t="s">
        <v>573</v>
      </c>
      <c r="B166" s="224">
        <f>IDP!G43</f>
        <v>0</v>
      </c>
      <c r="C166" s="224">
        <f>IDP!H43</f>
        <v>0</v>
      </c>
      <c r="D166" s="224">
        <f>IDP!I43</f>
        <v>0</v>
      </c>
      <c r="E166" s="224">
        <f>IDP!J43</f>
        <v>0</v>
      </c>
      <c r="F166" s="223">
        <f>IDP!K43</f>
        <v>0</v>
      </c>
      <c r="G166" s="217"/>
      <c r="H166" s="223">
        <f t="shared" si="12"/>
        <v>0</v>
      </c>
      <c r="I166" s="217">
        <f>IDP!L43</f>
        <v>0</v>
      </c>
      <c r="J166" s="224">
        <f>IDP!M43</f>
        <v>0</v>
      </c>
      <c r="K166" s="224">
        <f>IDP!N43</f>
        <v>0</v>
      </c>
      <c r="L166" s="204"/>
      <c r="N166" s="203"/>
    </row>
    <row r="167" spans="1:14" s="211" customFormat="1" hidden="1" x14ac:dyDescent="0.25">
      <c r="A167" s="191" t="s">
        <v>1163</v>
      </c>
      <c r="B167" s="224">
        <f>'Community Services'!H68</f>
        <v>0</v>
      </c>
      <c r="C167" s="224">
        <f>'Community Services'!I68</f>
        <v>0</v>
      </c>
      <c r="D167" s="224">
        <f>'Community Services'!J68</f>
        <v>0</v>
      </c>
      <c r="E167" s="224">
        <f>'Community Services'!K68</f>
        <v>0</v>
      </c>
      <c r="F167" s="223">
        <f>'Community Services'!L68</f>
        <v>0</v>
      </c>
      <c r="G167" s="217"/>
      <c r="H167" s="223">
        <f t="shared" si="12"/>
        <v>0</v>
      </c>
      <c r="I167" s="217">
        <f>'Community Services'!M68</f>
        <v>0</v>
      </c>
      <c r="J167" s="224">
        <f>'Community Services'!N68</f>
        <v>0</v>
      </c>
      <c r="K167" s="224">
        <f>'Community Services'!O68</f>
        <v>0</v>
      </c>
      <c r="L167" s="204"/>
      <c r="N167" s="203"/>
    </row>
    <row r="168" spans="1:14" s="211" customFormat="1" hidden="1" x14ac:dyDescent="0.25">
      <c r="A168" s="191" t="s">
        <v>1166</v>
      </c>
      <c r="B168" s="224">
        <f>'Community Services'!H69</f>
        <v>0</v>
      </c>
      <c r="C168" s="224">
        <f>'Community Services'!I69</f>
        <v>0</v>
      </c>
      <c r="D168" s="224">
        <f>'Community Services'!J69</f>
        <v>0</v>
      </c>
      <c r="E168" s="224">
        <f>'Community Services'!K69</f>
        <v>0</v>
      </c>
      <c r="F168" s="223">
        <f>'Community Services'!L69</f>
        <v>0</v>
      </c>
      <c r="G168" s="217"/>
      <c r="H168" s="223">
        <f t="shared" si="12"/>
        <v>0</v>
      </c>
      <c r="I168" s="217">
        <f>'Community Services'!M69</f>
        <v>0</v>
      </c>
      <c r="J168" s="224">
        <f>'Community Services'!N69</f>
        <v>0</v>
      </c>
      <c r="K168" s="223">
        <f>'Community Services'!O69</f>
        <v>0</v>
      </c>
      <c r="L168" s="203"/>
      <c r="N168" s="203"/>
    </row>
    <row r="169" spans="1:14" s="211" customFormat="1" hidden="1" x14ac:dyDescent="0.25">
      <c r="A169" s="191" t="s">
        <v>1164</v>
      </c>
      <c r="B169" s="224">
        <f>'Community Services'!H70</f>
        <v>0</v>
      </c>
      <c r="C169" s="224">
        <f>'Community Services'!I70</f>
        <v>0</v>
      </c>
      <c r="D169" s="224">
        <f>'Community Services'!J70</f>
        <v>0</v>
      </c>
      <c r="E169" s="224">
        <f>'Community Services'!K70</f>
        <v>0</v>
      </c>
      <c r="F169" s="223">
        <f>'Community Services'!L70</f>
        <v>0</v>
      </c>
      <c r="G169" s="217"/>
      <c r="H169" s="223">
        <f t="shared" si="12"/>
        <v>0</v>
      </c>
      <c r="I169" s="217">
        <f>'Community Services'!M70</f>
        <v>0</v>
      </c>
      <c r="J169" s="224">
        <f>'Community Services'!N70</f>
        <v>0</v>
      </c>
      <c r="K169" s="223">
        <f>'Community Services'!O70</f>
        <v>0</v>
      </c>
      <c r="L169" s="203"/>
      <c r="N169" s="203"/>
    </row>
    <row r="170" spans="1:14" s="211" customFormat="1" x14ac:dyDescent="0.25">
      <c r="A170" s="222" t="s">
        <v>1233</v>
      </c>
      <c r="B170" s="224">
        <f>Speaker!F44</f>
        <v>105575</v>
      </c>
      <c r="C170" s="224">
        <f>Speaker!G44</f>
        <v>7105</v>
      </c>
      <c r="D170" s="224">
        <f>Speaker!H44</f>
        <v>98470</v>
      </c>
      <c r="E170" s="224">
        <f>Speaker!I44</f>
        <v>0</v>
      </c>
      <c r="F170" s="223">
        <f>Speaker!J44</f>
        <v>105575</v>
      </c>
      <c r="G170" s="217">
        <v>0</v>
      </c>
      <c r="H170" s="223">
        <f t="shared" si="12"/>
        <v>105575</v>
      </c>
      <c r="I170" s="217">
        <f>Speaker!K44</f>
        <v>130000</v>
      </c>
      <c r="J170" s="224">
        <f>Speaker!L44</f>
        <v>135720</v>
      </c>
      <c r="K170" s="223">
        <f>Speaker!M44</f>
        <v>141827.4</v>
      </c>
      <c r="L170" s="203"/>
      <c r="N170" s="203"/>
    </row>
    <row r="171" spans="1:14" s="211" customFormat="1" ht="18" customHeight="1" x14ac:dyDescent="0.25">
      <c r="A171" s="222" t="s">
        <v>1235</v>
      </c>
      <c r="B171" s="224">
        <f>Speaker!F45</f>
        <v>75038</v>
      </c>
      <c r="C171" s="224">
        <f>Speaker!G45</f>
        <v>0</v>
      </c>
      <c r="D171" s="224">
        <f>Speaker!H45</f>
        <v>75038</v>
      </c>
      <c r="E171" s="224">
        <f>Speaker!I45</f>
        <v>0</v>
      </c>
      <c r="F171" s="223">
        <f>Speaker!J45</f>
        <v>75038</v>
      </c>
      <c r="G171" s="217">
        <v>0</v>
      </c>
      <c r="H171" s="223">
        <f t="shared" si="12"/>
        <v>75038</v>
      </c>
      <c r="I171" s="217">
        <f>Speaker!K45</f>
        <v>100000</v>
      </c>
      <c r="J171" s="224">
        <f>Speaker!L45</f>
        <v>104400</v>
      </c>
      <c r="K171" s="223">
        <f>Speaker!M45</f>
        <v>109097.99999999999</v>
      </c>
      <c r="L171" s="203"/>
      <c r="N171" s="203"/>
    </row>
    <row r="172" spans="1:14" s="211" customFormat="1" ht="18" customHeight="1" x14ac:dyDescent="0.25">
      <c r="A172" s="222" t="s">
        <v>1234</v>
      </c>
      <c r="B172" s="224">
        <f>Speaker!F46</f>
        <v>49275</v>
      </c>
      <c r="C172" s="224">
        <f>Speaker!G46</f>
        <v>0</v>
      </c>
      <c r="D172" s="224">
        <f>Speaker!H46</f>
        <v>49275</v>
      </c>
      <c r="E172" s="224">
        <f>Speaker!I46</f>
        <v>0</v>
      </c>
      <c r="F172" s="223">
        <f>Speaker!J46</f>
        <v>49275</v>
      </c>
      <c r="G172" s="217">
        <v>0</v>
      </c>
      <c r="H172" s="223">
        <f t="shared" si="12"/>
        <v>49275</v>
      </c>
      <c r="I172" s="217">
        <f>Speaker!K46</f>
        <v>200000</v>
      </c>
      <c r="J172" s="224">
        <f>Speaker!L46</f>
        <v>208800</v>
      </c>
      <c r="K172" s="223">
        <f>Speaker!M46</f>
        <v>218195.99999999997</v>
      </c>
      <c r="L172" s="203"/>
      <c r="N172" s="203"/>
    </row>
    <row r="173" spans="1:14" s="211" customFormat="1" ht="18" customHeight="1" x14ac:dyDescent="0.25">
      <c r="A173" s="222" t="s">
        <v>574</v>
      </c>
      <c r="B173" s="224">
        <f>'Executive Mayor'!G81</f>
        <v>0</v>
      </c>
      <c r="C173" s="224">
        <f>'Executive Mayor'!H81</f>
        <v>6300</v>
      </c>
      <c r="D173" s="224">
        <f>'Executive Mayor'!I81</f>
        <v>-6300</v>
      </c>
      <c r="E173" s="224">
        <f>'Executive Mayor'!J81</f>
        <v>12710</v>
      </c>
      <c r="F173" s="223">
        <f>'Executive Mayor'!K81</f>
        <v>12710</v>
      </c>
      <c r="G173" s="217">
        <v>0</v>
      </c>
      <c r="H173" s="223">
        <f t="shared" si="12"/>
        <v>12710</v>
      </c>
      <c r="I173" s="217">
        <f>'Executive Mayor'!L81</f>
        <v>0</v>
      </c>
      <c r="J173" s="224">
        <f>'Executive Mayor'!M81</f>
        <v>0</v>
      </c>
      <c r="K173" s="223">
        <f>'Executive Mayor'!N81</f>
        <v>0</v>
      </c>
      <c r="L173" s="203"/>
      <c r="N173" s="203"/>
    </row>
    <row r="174" spans="1:14" s="211" customFormat="1" x14ac:dyDescent="0.25">
      <c r="A174" s="222" t="s">
        <v>213</v>
      </c>
      <c r="B174" s="224">
        <f>'Corporate Services'!G58</f>
        <v>0</v>
      </c>
      <c r="C174" s="224">
        <f>'Corporate Services'!H58</f>
        <v>0</v>
      </c>
      <c r="D174" s="224">
        <f>'Corporate Services'!I58</f>
        <v>0</v>
      </c>
      <c r="E174" s="224">
        <f>'Corporate Services'!J58</f>
        <v>500000</v>
      </c>
      <c r="F174" s="223">
        <f>'Corporate Services'!K58</f>
        <v>500000</v>
      </c>
      <c r="G174" s="217">
        <v>0</v>
      </c>
      <c r="H174" s="223">
        <f t="shared" si="12"/>
        <v>500000</v>
      </c>
      <c r="I174" s="217">
        <f>'Corporate Services'!L58</f>
        <v>800000</v>
      </c>
      <c r="J174" s="224">
        <f>'Corporate Services'!M58</f>
        <v>835200</v>
      </c>
      <c r="K174" s="223">
        <f>'Corporate Services'!N58</f>
        <v>872783.99999999988</v>
      </c>
      <c r="L174" s="203"/>
      <c r="N174" s="203"/>
    </row>
    <row r="175" spans="1:14" x14ac:dyDescent="0.25">
      <c r="A175" s="222" t="s">
        <v>197</v>
      </c>
      <c r="B175" s="224">
        <f>'Corporate Services'!G59</f>
        <v>0</v>
      </c>
      <c r="C175" s="224">
        <f>'Corporate Services'!H59</f>
        <v>6557.64</v>
      </c>
      <c r="D175" s="224">
        <f>'Corporate Services'!I59</f>
        <v>-6557.64</v>
      </c>
      <c r="E175" s="224">
        <f>'Corporate Services'!J59</f>
        <v>350000</v>
      </c>
      <c r="F175" s="223">
        <f>'Corporate Services'!K59</f>
        <v>350000</v>
      </c>
      <c r="G175" s="217">
        <v>0</v>
      </c>
      <c r="H175" s="223">
        <f t="shared" si="12"/>
        <v>350000</v>
      </c>
      <c r="I175" s="217">
        <f>'Corporate Services'!L59</f>
        <v>130000</v>
      </c>
      <c r="J175" s="224">
        <f>'Corporate Services'!M59</f>
        <v>135720</v>
      </c>
      <c r="K175" s="223">
        <f>'Corporate Services'!N59</f>
        <v>141827.4</v>
      </c>
    </row>
    <row r="176" spans="1:14" hidden="1" x14ac:dyDescent="0.25">
      <c r="A176" s="191" t="s">
        <v>1181</v>
      </c>
      <c r="B176" s="224">
        <f>'Community Services'!H73</f>
        <v>0</v>
      </c>
      <c r="C176" s="224">
        <f>'Community Services'!I73</f>
        <v>0</v>
      </c>
      <c r="D176" s="224">
        <f>'Community Services'!J73</f>
        <v>0</v>
      </c>
      <c r="E176" s="224">
        <f>'Community Services'!K73</f>
        <v>0</v>
      </c>
      <c r="F176" s="223">
        <f>'Community Services'!L73</f>
        <v>0</v>
      </c>
      <c r="G176" s="217">
        <v>0</v>
      </c>
      <c r="H176" s="223">
        <f t="shared" si="12"/>
        <v>0</v>
      </c>
      <c r="I176" s="217">
        <f>'Community Services'!M73</f>
        <v>0</v>
      </c>
      <c r="J176" s="224">
        <f>'Community Services'!N73</f>
        <v>0</v>
      </c>
      <c r="K176" s="223">
        <f>'Community Services'!O73</f>
        <v>0</v>
      </c>
    </row>
    <row r="177" spans="1:14" x14ac:dyDescent="0.25">
      <c r="A177" s="191" t="s">
        <v>1180</v>
      </c>
      <c r="B177" s="224">
        <f>'Community Services'!H74</f>
        <v>0</v>
      </c>
      <c r="C177" s="224">
        <f>'Community Services'!I74</f>
        <v>0</v>
      </c>
      <c r="D177" s="224">
        <f>'Community Services'!J74</f>
        <v>0</v>
      </c>
      <c r="E177" s="224">
        <f>'Community Services'!K74</f>
        <v>0</v>
      </c>
      <c r="F177" s="223">
        <f>'Community Services'!L74</f>
        <v>0</v>
      </c>
      <c r="G177" s="217">
        <v>0</v>
      </c>
      <c r="H177" s="223">
        <f t="shared" si="12"/>
        <v>0</v>
      </c>
      <c r="I177" s="217">
        <f>'Community Services'!M74</f>
        <v>54500</v>
      </c>
      <c r="J177" s="224">
        <f>'Community Services'!N74</f>
        <v>56898</v>
      </c>
      <c r="K177" s="223">
        <f>'Community Services'!O74</f>
        <v>59458.409999999996</v>
      </c>
    </row>
    <row r="178" spans="1:14" s="211" customFormat="1" ht="18" customHeight="1" x14ac:dyDescent="0.25">
      <c r="A178" s="236" t="s">
        <v>842</v>
      </c>
      <c r="B178" s="224">
        <f>'Office of the MM'!G49</f>
        <v>75569</v>
      </c>
      <c r="C178" s="224">
        <f>'Office of the MM'!H49</f>
        <v>9076</v>
      </c>
      <c r="D178" s="224">
        <f>'Office of the MM'!I49</f>
        <v>66493</v>
      </c>
      <c r="E178" s="224">
        <f>'Office of the MM'!J49</f>
        <v>0</v>
      </c>
      <c r="F178" s="223">
        <f>'Office of the MM'!K49</f>
        <v>75569</v>
      </c>
      <c r="G178" s="217">
        <v>0</v>
      </c>
      <c r="H178" s="223">
        <f t="shared" si="12"/>
        <v>75569</v>
      </c>
      <c r="I178" s="217">
        <f>'Office of the MM'!L49</f>
        <v>79196.312000000005</v>
      </c>
      <c r="J178" s="224">
        <f>'Office of the MM'!M49</f>
        <v>82680.949728000007</v>
      </c>
      <c r="K178" s="223">
        <f>'Office of the MM'!N49</f>
        <v>86401.592465759997</v>
      </c>
      <c r="L178" s="203"/>
      <c r="N178" s="203"/>
    </row>
    <row r="179" spans="1:14" s="211" customFormat="1" ht="18" customHeight="1" x14ac:dyDescent="0.25">
      <c r="A179" s="236" t="s">
        <v>1036</v>
      </c>
      <c r="B179" s="224"/>
      <c r="C179" s="224"/>
      <c r="D179" s="224"/>
      <c r="E179" s="224"/>
      <c r="F179" s="223"/>
      <c r="G179" s="217">
        <v>0</v>
      </c>
      <c r="H179" s="223">
        <f t="shared" si="12"/>
        <v>0</v>
      </c>
      <c r="I179" s="217">
        <f>Infrastructure!N42</f>
        <v>20324.29</v>
      </c>
      <c r="J179" s="224">
        <f>Infrastructure!O42</f>
        <v>20324.29</v>
      </c>
      <c r="K179" s="223">
        <f>Infrastructure!P42</f>
        <v>21675.86</v>
      </c>
      <c r="L179" s="203"/>
      <c r="N179" s="203"/>
    </row>
    <row r="180" spans="1:14" s="211" customFormat="1" ht="18" customHeight="1" x14ac:dyDescent="0.25">
      <c r="A180" s="236" t="s">
        <v>575</v>
      </c>
      <c r="B180" s="224"/>
      <c r="C180" s="224"/>
      <c r="D180" s="224"/>
      <c r="E180" s="224"/>
      <c r="F180" s="223"/>
      <c r="G180" s="217">
        <v>0</v>
      </c>
      <c r="H180" s="223">
        <f t="shared" si="12"/>
        <v>0</v>
      </c>
      <c r="I180" s="217">
        <f>Infrastructure!N43</f>
        <v>20324.29</v>
      </c>
      <c r="J180" s="224">
        <f>Infrastructure!O43</f>
        <v>20324.29</v>
      </c>
      <c r="K180" s="223">
        <f>Infrastructure!P43</f>
        <v>21675.86</v>
      </c>
      <c r="L180" s="203"/>
      <c r="N180" s="203"/>
    </row>
    <row r="181" spans="1:14" ht="18" customHeight="1" x14ac:dyDescent="0.25">
      <c r="A181" s="222" t="s">
        <v>840</v>
      </c>
      <c r="B181" s="224">
        <f>Infrastructure!G44</f>
        <v>0</v>
      </c>
      <c r="C181" s="224">
        <f>Infrastructure!H44</f>
        <v>0</v>
      </c>
      <c r="D181" s="224">
        <f>Infrastructure!I44</f>
        <v>0</v>
      </c>
      <c r="E181" s="224">
        <f>Infrastructure!J44</f>
        <v>0</v>
      </c>
      <c r="F181" s="223">
        <f>Infrastructure!K44</f>
        <v>0</v>
      </c>
      <c r="G181" s="217">
        <v>0</v>
      </c>
      <c r="H181" s="223">
        <f t="shared" si="12"/>
        <v>0</v>
      </c>
      <c r="I181" s="217">
        <f>Infrastructure!N44</f>
        <v>20324.29</v>
      </c>
      <c r="J181" s="224">
        <f>Infrastructure!O44</f>
        <v>20324.29</v>
      </c>
      <c r="K181" s="223">
        <f>Infrastructure!P44</f>
        <v>21675.86</v>
      </c>
    </row>
    <row r="182" spans="1:14" x14ac:dyDescent="0.25">
      <c r="A182" s="222" t="s">
        <v>362</v>
      </c>
      <c r="B182" s="224">
        <f>Infrastructure!G45</f>
        <v>0</v>
      </c>
      <c r="C182" s="224">
        <f>Infrastructure!H45</f>
        <v>0</v>
      </c>
      <c r="D182" s="224">
        <f>Infrastructure!I45</f>
        <v>0</v>
      </c>
      <c r="E182" s="224">
        <f>Infrastructure!J45</f>
        <v>0</v>
      </c>
      <c r="F182" s="223">
        <f>Infrastructure!K45</f>
        <v>0</v>
      </c>
      <c r="G182" s="217">
        <v>0</v>
      </c>
      <c r="H182" s="223">
        <f t="shared" si="12"/>
        <v>0</v>
      </c>
      <c r="I182" s="217">
        <f>Infrastructure!N45</f>
        <v>53325</v>
      </c>
      <c r="J182" s="224">
        <f>Infrastructure!O45</f>
        <v>53325</v>
      </c>
      <c r="K182" s="223">
        <f>Infrastructure!P45</f>
        <v>56871.11</v>
      </c>
    </row>
    <row r="183" spans="1:14" x14ac:dyDescent="0.25">
      <c r="A183" s="222" t="s">
        <v>295</v>
      </c>
      <c r="B183" s="224">
        <f>Infrastructure!G46</f>
        <v>2458000</v>
      </c>
      <c r="C183" s="224">
        <f>Infrastructure!H46</f>
        <v>869972.22</v>
      </c>
      <c r="D183" s="224">
        <f>Infrastructure!I46</f>
        <v>1588027.78</v>
      </c>
      <c r="E183" s="224">
        <f>Infrastructure!J46</f>
        <v>0</v>
      </c>
      <c r="F183" s="223">
        <f>Infrastructure!K46</f>
        <v>2458000</v>
      </c>
      <c r="G183" s="217">
        <v>0</v>
      </c>
      <c r="H183" s="223">
        <f t="shared" si="12"/>
        <v>2458000</v>
      </c>
      <c r="I183" s="217">
        <f>Infrastructure!N46</f>
        <v>2573000</v>
      </c>
      <c r="J183" s="224">
        <f>Infrastructure!O46</f>
        <v>2583000</v>
      </c>
      <c r="K183" s="223">
        <f>Infrastructure!P46</f>
        <v>2677000</v>
      </c>
    </row>
    <row r="184" spans="1:14" x14ac:dyDescent="0.25">
      <c r="A184" s="222" t="s">
        <v>305</v>
      </c>
      <c r="B184" s="224">
        <f>Agriculture!G42</f>
        <v>554027.69999999995</v>
      </c>
      <c r="C184" s="224">
        <f>Agriculture!H42</f>
        <v>17622.349999999999</v>
      </c>
      <c r="D184" s="224">
        <f>Agriculture!I42</f>
        <v>536405.35</v>
      </c>
      <c r="E184" s="224">
        <f>Agriculture!J42</f>
        <v>0</v>
      </c>
      <c r="F184" s="223">
        <f>Agriculture!K42</f>
        <v>554027.69999999995</v>
      </c>
      <c r="G184" s="217">
        <v>0</v>
      </c>
      <c r="H184" s="223">
        <f t="shared" si="12"/>
        <v>554027.69999999995</v>
      </c>
      <c r="I184" s="217">
        <f>Agriculture!L42</f>
        <v>565000</v>
      </c>
      <c r="J184" s="224">
        <f>Agriculture!M42</f>
        <v>573291</v>
      </c>
      <c r="K184" s="223">
        <f>Agriculture!N42</f>
        <v>400000</v>
      </c>
    </row>
    <row r="185" spans="1:14" hidden="1" x14ac:dyDescent="0.25">
      <c r="A185" s="222" t="s">
        <v>942</v>
      </c>
      <c r="B185" s="224">
        <f>'Corporate Services'!G60</f>
        <v>0</v>
      </c>
      <c r="C185" s="224">
        <f>'Corporate Services'!H60</f>
        <v>0</v>
      </c>
      <c r="D185" s="224">
        <f>'Corporate Services'!I60</f>
        <v>0</v>
      </c>
      <c r="E185" s="224">
        <f>'Corporate Services'!J60</f>
        <v>0</v>
      </c>
      <c r="F185" s="223">
        <f>'Corporate Services'!K60</f>
        <v>0</v>
      </c>
      <c r="G185" s="217">
        <v>0</v>
      </c>
      <c r="H185" s="223">
        <f t="shared" si="12"/>
        <v>0</v>
      </c>
      <c r="I185" s="217">
        <f>'Corporate Services'!L60</f>
        <v>0</v>
      </c>
      <c r="J185" s="224">
        <f>'Corporate Services'!M60</f>
        <v>0</v>
      </c>
      <c r="K185" s="223">
        <f>'Corporate Services'!N60</f>
        <v>0</v>
      </c>
    </row>
    <row r="186" spans="1:14" hidden="1" x14ac:dyDescent="0.25">
      <c r="A186" s="222" t="s">
        <v>1179</v>
      </c>
      <c r="B186" s="224">
        <f>'Community Services'!H75</f>
        <v>0</v>
      </c>
      <c r="C186" s="224">
        <f>'Community Services'!I75</f>
        <v>0</v>
      </c>
      <c r="D186" s="224">
        <f>'Community Services'!J75</f>
        <v>0</v>
      </c>
      <c r="E186" s="224">
        <f>'Community Services'!K75</f>
        <v>0</v>
      </c>
      <c r="F186" s="223">
        <f>'Community Services'!L75</f>
        <v>0</v>
      </c>
      <c r="G186" s="217">
        <v>0</v>
      </c>
      <c r="H186" s="223">
        <f t="shared" si="12"/>
        <v>0</v>
      </c>
      <c r="I186" s="217">
        <f>'Community Services'!M75</f>
        <v>0</v>
      </c>
      <c r="J186" s="224">
        <f>'Community Services'!N75</f>
        <v>0</v>
      </c>
      <c r="K186" s="223">
        <f>'Community Services'!O75</f>
        <v>0</v>
      </c>
    </row>
    <row r="187" spans="1:14" x14ac:dyDescent="0.25">
      <c r="A187" s="222" t="s">
        <v>247</v>
      </c>
      <c r="B187" s="224">
        <f>'Community Services'!H76</f>
        <v>186000</v>
      </c>
      <c r="C187" s="224">
        <f>'Community Services'!I76</f>
        <v>75163.88</v>
      </c>
      <c r="D187" s="224">
        <f>'Community Services'!J76</f>
        <v>110836.12</v>
      </c>
      <c r="E187" s="224">
        <f>'Community Services'!K76</f>
        <v>0</v>
      </c>
      <c r="F187" s="223">
        <f>'Community Services'!L76</f>
        <v>186000</v>
      </c>
      <c r="G187" s="217">
        <v>0</v>
      </c>
      <c r="H187" s="223">
        <f t="shared" si="12"/>
        <v>186000</v>
      </c>
      <c r="I187" s="217">
        <f>'Community Services'!M76</f>
        <v>186000</v>
      </c>
      <c r="J187" s="224">
        <f>'Community Services'!N76</f>
        <v>194184</v>
      </c>
      <c r="K187" s="223">
        <f>'Community Services'!O76</f>
        <v>202922.28</v>
      </c>
    </row>
    <row r="188" spans="1:14" s="211" customFormat="1" x14ac:dyDescent="0.25">
      <c r="A188" s="222" t="s">
        <v>628</v>
      </c>
      <c r="B188" s="224">
        <f>'Corporate Services'!G61</f>
        <v>5073843.2489999998</v>
      </c>
      <c r="C188" s="224">
        <f>'Corporate Services'!H61</f>
        <v>0</v>
      </c>
      <c r="D188" s="224">
        <f>'Corporate Services'!I61</f>
        <v>5073843.2489999998</v>
      </c>
      <c r="E188" s="224">
        <f>'Corporate Services'!J61</f>
        <v>0</v>
      </c>
      <c r="F188" s="223">
        <f>'Corporate Services'!K61</f>
        <v>5073843.2489999998</v>
      </c>
      <c r="G188" s="217">
        <v>0</v>
      </c>
      <c r="H188" s="223">
        <f t="shared" si="12"/>
        <v>5073843.2489999998</v>
      </c>
      <c r="I188" s="217">
        <f>'Corporate Services'!L61</f>
        <v>5521365.9920000006</v>
      </c>
      <c r="J188" s="224">
        <f>'Corporate Services'!M61</f>
        <v>5764306.0956480009</v>
      </c>
      <c r="K188" s="223">
        <f>'Corporate Services'!N61</f>
        <v>6023699.8699521609</v>
      </c>
      <c r="L188" s="203"/>
      <c r="N188" s="203"/>
    </row>
    <row r="189" spans="1:14" s="211" customFormat="1" x14ac:dyDescent="0.25">
      <c r="A189" s="222" t="s">
        <v>54</v>
      </c>
      <c r="B189" s="224">
        <f>'MAYCO &amp; COUNCIL'!G34</f>
        <v>218190</v>
      </c>
      <c r="C189" s="224">
        <f>'MAYCO &amp; COUNCIL'!H34</f>
        <v>75699.58</v>
      </c>
      <c r="D189" s="224">
        <f>'MAYCO &amp; COUNCIL'!I34</f>
        <v>142490.41999999998</v>
      </c>
      <c r="E189" s="224">
        <f>'MAYCO &amp; COUNCIL'!J34</f>
        <v>0</v>
      </c>
      <c r="F189" s="223">
        <f>'MAYCO &amp; COUNCIL'!K34</f>
        <v>218190</v>
      </c>
      <c r="G189" s="217">
        <v>0</v>
      </c>
      <c r="H189" s="223">
        <f t="shared" si="12"/>
        <v>218190</v>
      </c>
      <c r="I189" s="217">
        <f>'MAYCO &amp; COUNCIL'!L34</f>
        <v>230000</v>
      </c>
      <c r="J189" s="224">
        <f>'MAYCO &amp; COUNCIL'!M34</f>
        <v>240120</v>
      </c>
      <c r="K189" s="223">
        <f>'MAYCO &amp; COUNCIL'!N34</f>
        <v>250925.4</v>
      </c>
      <c r="L189" s="203"/>
      <c r="N189" s="203"/>
    </row>
    <row r="190" spans="1:14" s="211" customFormat="1" x14ac:dyDescent="0.25">
      <c r="A190" s="222" t="s">
        <v>5</v>
      </c>
      <c r="B190" s="224">
        <v>1014477</v>
      </c>
      <c r="C190" s="224">
        <f>Speaker!G42+'Chief Whip'!G32+'MAYCO &amp; COUNCIL'!H33+'Executive Mayor'!H41+'Office of the MM'!H38+IDP!H44+Finance!H50+LED!H38+'Community Services'!I77+'Corporate Services'!H62+Agriculture!H36+Infrastructure!H34</f>
        <v>420525.83559999999</v>
      </c>
      <c r="D190" s="224">
        <f>Speaker!H42+'Chief Whip'!H32+'MAYCO &amp; COUNCIL'!I33+'Executive Mayor'!I41+'Office of the MM'!I38+IDP!I44+Finance!I50+LED!I38+'Community Services'!J77+'Corporate Services'!I62+Agriculture!I36+Infrastructure!I34</f>
        <v>593950.85470000003</v>
      </c>
      <c r="E190" s="224">
        <v>9391</v>
      </c>
      <c r="F190" s="223">
        <v>1023868</v>
      </c>
      <c r="G190" s="217">
        <v>0</v>
      </c>
      <c r="H190" s="223">
        <f t="shared" si="12"/>
        <v>1023868</v>
      </c>
      <c r="I190" s="217">
        <f>Speaker!K42+'Chief Whip'!K32+'MAYCO &amp; COUNCIL'!L33+'Executive Mayor'!L41+'Office of the MM'!L38+IDP!L44+Finance!L50+LED!L38+'Community Services'!M77+'Corporate Services'!L62+Agriculture!L36+Infrastructure!N34</f>
        <v>1115495.9074171819</v>
      </c>
      <c r="J190" s="224">
        <f>Speaker!L42+'Chief Whip'!L32+'MAYCO &amp; COUNCIL'!M33+'Executive Mayor'!M41+'Office of the MM'!M38+IDP!M44+Finance!M50+LED!M38+'Community Services'!N77+'Corporate Services'!M62+Agriculture!M36+Infrastructure!O34</f>
        <v>1101351.4236516021</v>
      </c>
      <c r="K190" s="223">
        <f>Speaker!M42+'Chief Whip'!M32+'MAYCO &amp; COUNCIL'!N33+'Executive Mayor'!N41+'Office of the MM'!N38+IDP!N44+Finance!N50+LED!N38+'Community Services'!O77+'Corporate Services'!N62+Agriculture!N36+Infrastructure!P34</f>
        <v>1210586.3920889897</v>
      </c>
      <c r="L190" s="203"/>
      <c r="N190" s="203"/>
    </row>
    <row r="191" spans="1:14" s="211" customFormat="1" x14ac:dyDescent="0.25">
      <c r="A191" s="222" t="s">
        <v>1313</v>
      </c>
      <c r="B191" s="224"/>
      <c r="C191" s="224"/>
      <c r="D191" s="224"/>
      <c r="E191" s="224"/>
      <c r="F191" s="223"/>
      <c r="G191" s="217">
        <v>0</v>
      </c>
      <c r="H191" s="223">
        <f t="shared" si="12"/>
        <v>0</v>
      </c>
      <c r="I191" s="217">
        <f>Speaker!K50+'Chief Whip'!K33+'Office of the MM'!L39+'Executive Mayor'!L42</f>
        <v>8000</v>
      </c>
      <c r="J191" s="247">
        <f>Speaker!L50+'Chief Whip'!L33+'Office of the MM'!M39+'Executive Mayor'!M42</f>
        <v>8000</v>
      </c>
      <c r="K191" s="247">
        <f>Speaker!M50+'Chief Whip'!M33+'Office of the MM'!N39+'Executive Mayor'!N42</f>
        <v>8000</v>
      </c>
      <c r="L191" s="203"/>
      <c r="N191" s="203"/>
    </row>
    <row r="192" spans="1:14" x14ac:dyDescent="0.25">
      <c r="A192" s="222" t="s">
        <v>972</v>
      </c>
      <c r="B192" s="224">
        <f>LED!G41</f>
        <v>500000</v>
      </c>
      <c r="C192" s="224">
        <f>LED!H41</f>
        <v>0</v>
      </c>
      <c r="D192" s="224">
        <f>LED!I41</f>
        <v>500000</v>
      </c>
      <c r="E192" s="224">
        <f>LED!J41</f>
        <v>0</v>
      </c>
      <c r="F192" s="223">
        <f>LED!K41</f>
        <v>500000</v>
      </c>
      <c r="G192" s="217">
        <v>0</v>
      </c>
      <c r="H192" s="223">
        <f t="shared" si="12"/>
        <v>500000</v>
      </c>
      <c r="I192" s="217">
        <f>LED!L41</f>
        <v>200000</v>
      </c>
      <c r="J192" s="224">
        <f>LED!M41</f>
        <v>250000</v>
      </c>
      <c r="K192" s="223">
        <f>LED!N41</f>
        <v>250000</v>
      </c>
    </row>
    <row r="193" spans="1:14" x14ac:dyDescent="0.25">
      <c r="A193" s="191" t="s">
        <v>867</v>
      </c>
      <c r="B193" s="224"/>
      <c r="C193" s="224"/>
      <c r="D193" s="224"/>
      <c r="E193" s="224"/>
      <c r="F193" s="223"/>
      <c r="G193" s="217">
        <v>0</v>
      </c>
      <c r="H193" s="223">
        <f t="shared" si="12"/>
        <v>0</v>
      </c>
      <c r="I193" s="217">
        <f>'Community Services'!M78</f>
        <v>50000</v>
      </c>
      <c r="J193" s="224"/>
      <c r="K193" s="223"/>
    </row>
    <row r="194" spans="1:14" s="211" customFormat="1" hidden="1" x14ac:dyDescent="0.25">
      <c r="A194" s="222" t="s">
        <v>876</v>
      </c>
      <c r="B194" s="224">
        <v>0</v>
      </c>
      <c r="C194" s="224">
        <v>0</v>
      </c>
      <c r="D194" s="224">
        <v>0</v>
      </c>
      <c r="E194" s="224">
        <v>0</v>
      </c>
      <c r="F194" s="223">
        <v>0</v>
      </c>
      <c r="G194" s="217">
        <v>0</v>
      </c>
      <c r="H194" s="223">
        <f t="shared" si="12"/>
        <v>0</v>
      </c>
      <c r="I194" s="217">
        <v>0</v>
      </c>
      <c r="J194" s="224">
        <v>0</v>
      </c>
      <c r="K194" s="223">
        <v>0</v>
      </c>
      <c r="L194" s="203"/>
      <c r="N194" s="203"/>
    </row>
    <row r="195" spans="1:14" hidden="1" x14ac:dyDescent="0.25">
      <c r="A195" s="222" t="s">
        <v>873</v>
      </c>
      <c r="B195" s="224">
        <v>0</v>
      </c>
      <c r="C195" s="224">
        <v>0</v>
      </c>
      <c r="D195" s="224">
        <v>0</v>
      </c>
      <c r="E195" s="224">
        <v>0</v>
      </c>
      <c r="F195" s="223">
        <v>0</v>
      </c>
      <c r="G195" s="217">
        <v>0</v>
      </c>
      <c r="H195" s="223">
        <f t="shared" si="12"/>
        <v>0</v>
      </c>
      <c r="I195" s="217">
        <v>0</v>
      </c>
      <c r="J195" s="224">
        <v>0</v>
      </c>
      <c r="K195" s="223">
        <v>0</v>
      </c>
    </row>
    <row r="196" spans="1:14" s="211" customFormat="1" hidden="1" x14ac:dyDescent="0.25">
      <c r="A196" s="222" t="s">
        <v>869</v>
      </c>
      <c r="B196" s="224">
        <f>'Community Services'!H80</f>
        <v>0</v>
      </c>
      <c r="C196" s="224">
        <f>'Community Services'!I80</f>
        <v>0</v>
      </c>
      <c r="D196" s="224">
        <f>'Community Services'!J80</f>
        <v>0</v>
      </c>
      <c r="E196" s="224">
        <f>'Community Services'!K80</f>
        <v>0</v>
      </c>
      <c r="F196" s="223">
        <f>'Community Services'!L80</f>
        <v>0</v>
      </c>
      <c r="G196" s="217">
        <v>0</v>
      </c>
      <c r="H196" s="223">
        <f t="shared" si="12"/>
        <v>0</v>
      </c>
      <c r="I196" s="217">
        <f>'Community Services'!M80</f>
        <v>0</v>
      </c>
      <c r="J196" s="224">
        <f>'Community Services'!N80</f>
        <v>0</v>
      </c>
      <c r="K196" s="223">
        <f>'Community Services'!O80</f>
        <v>0</v>
      </c>
      <c r="L196" s="203"/>
      <c r="N196" s="203"/>
    </row>
    <row r="197" spans="1:14" s="211" customFormat="1" hidden="1" x14ac:dyDescent="0.25">
      <c r="A197" s="222" t="s">
        <v>868</v>
      </c>
      <c r="B197" s="224">
        <v>0</v>
      </c>
      <c r="C197" s="224">
        <v>0</v>
      </c>
      <c r="D197" s="224">
        <v>0</v>
      </c>
      <c r="E197" s="224">
        <v>0</v>
      </c>
      <c r="F197" s="223">
        <v>0</v>
      </c>
      <c r="G197" s="217">
        <v>0</v>
      </c>
      <c r="H197" s="223">
        <f t="shared" si="12"/>
        <v>0</v>
      </c>
      <c r="I197" s="217">
        <f>'Community Services'!M83</f>
        <v>0</v>
      </c>
      <c r="J197" s="224">
        <f>'Community Services'!N83</f>
        <v>0</v>
      </c>
      <c r="K197" s="223">
        <f>'Community Services'!O83</f>
        <v>0</v>
      </c>
      <c r="L197" s="203"/>
      <c r="N197" s="203"/>
    </row>
    <row r="198" spans="1:14" hidden="1" x14ac:dyDescent="0.25">
      <c r="A198" s="222" t="s">
        <v>870</v>
      </c>
      <c r="B198" s="224">
        <v>0</v>
      </c>
      <c r="C198" s="224">
        <v>0</v>
      </c>
      <c r="D198" s="224">
        <v>0</v>
      </c>
      <c r="E198" s="224">
        <v>0</v>
      </c>
      <c r="F198" s="223">
        <v>0</v>
      </c>
      <c r="G198" s="217">
        <v>0</v>
      </c>
      <c r="H198" s="223">
        <f t="shared" si="12"/>
        <v>0</v>
      </c>
      <c r="I198" s="217">
        <f>'Community Services'!M86</f>
        <v>0</v>
      </c>
      <c r="J198" s="224">
        <f>'Community Services'!N86</f>
        <v>0</v>
      </c>
      <c r="K198" s="223">
        <f>'Community Services'!O86</f>
        <v>0</v>
      </c>
    </row>
    <row r="199" spans="1:14" hidden="1" x14ac:dyDescent="0.25">
      <c r="A199" s="222" t="s">
        <v>874</v>
      </c>
      <c r="B199" s="224">
        <v>0</v>
      </c>
      <c r="C199" s="224">
        <v>0</v>
      </c>
      <c r="D199" s="224">
        <v>0</v>
      </c>
      <c r="E199" s="224">
        <v>0</v>
      </c>
      <c r="F199" s="223">
        <v>0</v>
      </c>
      <c r="G199" s="217">
        <v>0</v>
      </c>
      <c r="H199" s="223">
        <f t="shared" si="12"/>
        <v>0</v>
      </c>
      <c r="I199" s="217">
        <v>0</v>
      </c>
      <c r="J199" s="224">
        <v>0</v>
      </c>
      <c r="K199" s="223">
        <v>0</v>
      </c>
    </row>
    <row r="200" spans="1:14" hidden="1" x14ac:dyDescent="0.25">
      <c r="A200" s="222" t="s">
        <v>871</v>
      </c>
      <c r="B200" s="224">
        <v>0</v>
      </c>
      <c r="C200" s="224">
        <v>0</v>
      </c>
      <c r="D200" s="224">
        <v>0</v>
      </c>
      <c r="E200" s="224">
        <v>0</v>
      </c>
      <c r="F200" s="223">
        <v>0</v>
      </c>
      <c r="G200" s="217">
        <v>0</v>
      </c>
      <c r="H200" s="223">
        <f t="shared" ref="H200:H249" si="13">F200+G200</f>
        <v>0</v>
      </c>
      <c r="I200" s="217">
        <v>0</v>
      </c>
      <c r="J200" s="224">
        <v>0</v>
      </c>
      <c r="K200" s="223">
        <v>0</v>
      </c>
    </row>
    <row r="201" spans="1:14" ht="18" customHeight="1" x14ac:dyDescent="0.25">
      <c r="A201" s="243" t="s">
        <v>1170</v>
      </c>
      <c r="B201" s="224">
        <f>'Community Services'!H90</f>
        <v>0</v>
      </c>
      <c r="C201" s="224">
        <f>'Community Services'!I90</f>
        <v>0</v>
      </c>
      <c r="D201" s="224">
        <f>'Community Services'!J90</f>
        <v>0</v>
      </c>
      <c r="E201" s="224">
        <f>'Community Services'!K90</f>
        <v>0</v>
      </c>
      <c r="F201" s="223">
        <f>'Community Services'!L90</f>
        <v>0</v>
      </c>
      <c r="G201" s="217">
        <v>0</v>
      </c>
      <c r="H201" s="223">
        <f t="shared" si="13"/>
        <v>0</v>
      </c>
      <c r="I201" s="217">
        <f>'Community Services'!M90</f>
        <v>50000</v>
      </c>
      <c r="J201" s="224">
        <f>'Community Services'!N90</f>
        <v>0</v>
      </c>
      <c r="K201" s="223">
        <f>'Community Services'!O90</f>
        <v>0</v>
      </c>
    </row>
    <row r="202" spans="1:14" hidden="1" x14ac:dyDescent="0.25">
      <c r="A202" s="222" t="s">
        <v>982</v>
      </c>
      <c r="B202" s="224">
        <f>'Community Services'!H92</f>
        <v>0</v>
      </c>
      <c r="C202" s="224">
        <f>'Community Services'!I92</f>
        <v>0</v>
      </c>
      <c r="D202" s="224">
        <f>'Community Services'!J92</f>
        <v>0</v>
      </c>
      <c r="E202" s="224">
        <f>'Community Services'!K92</f>
        <v>0</v>
      </c>
      <c r="F202" s="223">
        <f>'Community Services'!L92</f>
        <v>0</v>
      </c>
      <c r="G202" s="217">
        <v>0</v>
      </c>
      <c r="H202" s="223">
        <f t="shared" si="13"/>
        <v>0</v>
      </c>
      <c r="I202" s="217">
        <f>'Community Services'!M92</f>
        <v>0</v>
      </c>
      <c r="J202" s="224">
        <f>'Community Services'!N92</f>
        <v>0</v>
      </c>
      <c r="K202" s="223">
        <f>'Community Services'!O92</f>
        <v>0</v>
      </c>
    </row>
    <row r="203" spans="1:14" hidden="1" x14ac:dyDescent="0.25">
      <c r="A203" s="222" t="s">
        <v>879</v>
      </c>
      <c r="B203" s="224">
        <f>'Community Services'!H94</f>
        <v>0</v>
      </c>
      <c r="C203" s="224">
        <f>'Community Services'!I94</f>
        <v>0</v>
      </c>
      <c r="D203" s="224">
        <f>'Community Services'!J94</f>
        <v>0</v>
      </c>
      <c r="E203" s="224">
        <f>'Community Services'!K94</f>
        <v>0</v>
      </c>
      <c r="F203" s="223">
        <f>'Community Services'!L94</f>
        <v>0</v>
      </c>
      <c r="G203" s="217">
        <v>0</v>
      </c>
      <c r="H203" s="223">
        <f t="shared" si="13"/>
        <v>0</v>
      </c>
      <c r="I203" s="217">
        <f>'Community Services'!M94</f>
        <v>0</v>
      </c>
      <c r="J203" s="224">
        <f>'Community Services'!N94</f>
        <v>0</v>
      </c>
      <c r="K203" s="223">
        <f>'Community Services'!O94</f>
        <v>0</v>
      </c>
    </row>
    <row r="204" spans="1:14" s="211" customFormat="1" x14ac:dyDescent="0.25">
      <c r="A204" s="222" t="s">
        <v>409</v>
      </c>
      <c r="B204" s="224">
        <f>'Office of the MM'!G51</f>
        <v>140000</v>
      </c>
      <c r="C204" s="224">
        <f>'Office of the MM'!H51</f>
        <v>0</v>
      </c>
      <c r="D204" s="224">
        <f>'Office of the MM'!I51</f>
        <v>140000</v>
      </c>
      <c r="E204" s="224">
        <v>104999</v>
      </c>
      <c r="F204" s="223">
        <f>'Office of the MM'!K51</f>
        <v>190000</v>
      </c>
      <c r="G204" s="217">
        <v>0</v>
      </c>
      <c r="H204" s="223">
        <f t="shared" si="13"/>
        <v>190000</v>
      </c>
      <c r="I204" s="217">
        <f>'Office of the MM'!L51</f>
        <v>150000</v>
      </c>
      <c r="J204" s="224">
        <f>'Office of the MM'!M51</f>
        <v>156600</v>
      </c>
      <c r="K204" s="223">
        <f>'Office of the MM'!N51</f>
        <v>163647</v>
      </c>
      <c r="L204" s="203"/>
      <c r="N204" s="203"/>
    </row>
    <row r="205" spans="1:14" s="211" customFormat="1" x14ac:dyDescent="0.25">
      <c r="A205" s="222" t="s">
        <v>934</v>
      </c>
      <c r="B205" s="224">
        <f>'Office of the MM'!G52</f>
        <v>4635</v>
      </c>
      <c r="C205" s="224">
        <f>'Office of the MM'!H52</f>
        <v>0</v>
      </c>
      <c r="D205" s="224">
        <f>'Office of the MM'!I52</f>
        <v>4635</v>
      </c>
      <c r="E205" s="224">
        <v>0</v>
      </c>
      <c r="F205" s="223">
        <f>'Office of the MM'!K52</f>
        <v>54635</v>
      </c>
      <c r="G205" s="217">
        <v>0</v>
      </c>
      <c r="H205" s="223">
        <f t="shared" si="13"/>
        <v>54635</v>
      </c>
      <c r="I205" s="217">
        <f>'Office of the MM'!L52</f>
        <v>60000</v>
      </c>
      <c r="J205" s="224">
        <f>'Office of the MM'!M52</f>
        <v>62640</v>
      </c>
      <c r="K205" s="223">
        <f>'Office of the MM'!N52</f>
        <v>65458.799999999996</v>
      </c>
      <c r="L205" s="203"/>
      <c r="N205" s="203"/>
    </row>
    <row r="206" spans="1:14" s="211" customFormat="1" x14ac:dyDescent="0.25">
      <c r="A206" s="222" t="s">
        <v>411</v>
      </c>
      <c r="B206" s="224">
        <f>'Office of the MM'!G53</f>
        <v>0</v>
      </c>
      <c r="C206" s="224">
        <f>'Office of the MM'!H53</f>
        <v>0</v>
      </c>
      <c r="D206" s="224">
        <f>'Office of the MM'!I53</f>
        <v>0</v>
      </c>
      <c r="E206" s="224">
        <v>0</v>
      </c>
      <c r="F206" s="223">
        <f>'Office of the MM'!K53</f>
        <v>50000</v>
      </c>
      <c r="G206" s="217">
        <v>0</v>
      </c>
      <c r="H206" s="223">
        <f t="shared" si="13"/>
        <v>50000</v>
      </c>
      <c r="I206" s="217">
        <f>'Office of the MM'!L53</f>
        <v>35000</v>
      </c>
      <c r="J206" s="224">
        <f>'Office of the MM'!M53</f>
        <v>36540</v>
      </c>
      <c r="K206" s="223">
        <f>'Office of the MM'!N53</f>
        <v>38184.299999999996</v>
      </c>
      <c r="L206" s="203"/>
      <c r="N206" s="203"/>
    </row>
    <row r="207" spans="1:14" x14ac:dyDescent="0.25">
      <c r="A207" s="222" t="s">
        <v>577</v>
      </c>
      <c r="B207" s="224">
        <f>'Office of the MM'!G54</f>
        <v>32195</v>
      </c>
      <c r="C207" s="224">
        <f>'Office of the MM'!H54</f>
        <v>0</v>
      </c>
      <c r="D207" s="224">
        <f>'Office of the MM'!I54</f>
        <v>32195</v>
      </c>
      <c r="E207" s="224">
        <f>'Office of the MM'!J54</f>
        <v>0</v>
      </c>
      <c r="F207" s="223">
        <f>'Office of the MM'!K54</f>
        <v>32195</v>
      </c>
      <c r="G207" s="217">
        <v>0</v>
      </c>
      <c r="H207" s="223">
        <f t="shared" si="13"/>
        <v>32195</v>
      </c>
      <c r="I207" s="217">
        <f>'Office of the MM'!L54</f>
        <v>33740.36</v>
      </c>
      <c r="J207" s="224">
        <f>'Office of the MM'!M54</f>
        <v>35224.935840000006</v>
      </c>
      <c r="K207" s="223">
        <f>'Office of the MM'!N54</f>
        <v>36810.057952800002</v>
      </c>
    </row>
    <row r="208" spans="1:14" x14ac:dyDescent="0.25">
      <c r="A208" s="222" t="s">
        <v>1236</v>
      </c>
      <c r="B208" s="224">
        <f>'Corporate Services'!G43</f>
        <v>660938</v>
      </c>
      <c r="C208" s="224">
        <f>'Corporate Services'!H43</f>
        <v>270899.45</v>
      </c>
      <c r="D208" s="224">
        <f>'Corporate Services'!I43</f>
        <v>390038.55</v>
      </c>
      <c r="E208" s="224">
        <f>'Corporate Services'!J43</f>
        <v>0</v>
      </c>
      <c r="F208" s="223">
        <f>'Corporate Services'!K43</f>
        <v>660938</v>
      </c>
      <c r="G208" s="217">
        <v>0</v>
      </c>
      <c r="H208" s="223">
        <f t="shared" si="13"/>
        <v>660938</v>
      </c>
      <c r="I208" s="217">
        <f>'Corporate Services'!L43</f>
        <v>670663.02399999998</v>
      </c>
      <c r="J208" s="224">
        <f>'Corporate Services'!M43</f>
        <v>550000</v>
      </c>
      <c r="K208" s="223">
        <f>'Corporate Services'!N43</f>
        <v>574750</v>
      </c>
    </row>
    <row r="209" spans="1:12" x14ac:dyDescent="0.25">
      <c r="A209" s="222" t="s">
        <v>1311</v>
      </c>
      <c r="B209" s="224">
        <f>'Corporate Services'!G64</f>
        <v>477619</v>
      </c>
      <c r="C209" s="224">
        <f>'Corporate Services'!H64</f>
        <v>164661.67000000004</v>
      </c>
      <c r="D209" s="224">
        <f>'Corporate Services'!I64</f>
        <v>312957.32999999996</v>
      </c>
      <c r="E209" s="224">
        <f>'Corporate Services'!J64</f>
        <v>108175</v>
      </c>
      <c r="F209" s="223">
        <f>'Corporate Services'!K64</f>
        <v>585794</v>
      </c>
      <c r="G209" s="217">
        <f>Infrastructure!L61</f>
        <v>160000</v>
      </c>
      <c r="H209" s="223">
        <f t="shared" si="13"/>
        <v>745794</v>
      </c>
      <c r="I209" s="217">
        <f>'Corporate Services'!L64+Infrastructure!N61</f>
        <v>756614.11200000008</v>
      </c>
      <c r="J209" s="223">
        <f>'Corporate Services'!M64+Infrastructure!O61</f>
        <v>632972.00800000003</v>
      </c>
      <c r="K209" s="224">
        <f>'Corporate Services'!N64+Infrastructure!P61</f>
        <v>661455.74835999997</v>
      </c>
      <c r="L209" s="204"/>
    </row>
    <row r="210" spans="1:12" hidden="1" x14ac:dyDescent="0.25">
      <c r="A210" s="222" t="s">
        <v>578</v>
      </c>
      <c r="B210" s="224">
        <f>Infrastructure!G47</f>
        <v>0</v>
      </c>
      <c r="C210" s="224">
        <f>Infrastructure!H47</f>
        <v>0</v>
      </c>
      <c r="D210" s="224">
        <f>Infrastructure!I47</f>
        <v>0</v>
      </c>
      <c r="E210" s="224">
        <f>Infrastructure!J47</f>
        <v>0</v>
      </c>
      <c r="F210" s="223">
        <f>Infrastructure!K47</f>
        <v>0</v>
      </c>
      <c r="G210" s="217"/>
      <c r="H210" s="223">
        <f t="shared" si="13"/>
        <v>0</v>
      </c>
      <c r="I210" s="217">
        <f>Infrastructure!N47</f>
        <v>0</v>
      </c>
      <c r="J210" s="223">
        <f>Infrastructure!O47</f>
        <v>0</v>
      </c>
      <c r="K210" s="223">
        <f>Infrastructure!P47</f>
        <v>0</v>
      </c>
    </row>
    <row r="211" spans="1:12" x14ac:dyDescent="0.25">
      <c r="A211" s="191" t="s">
        <v>1155</v>
      </c>
      <c r="B211" s="224">
        <f>LED!G47</f>
        <v>0</v>
      </c>
      <c r="C211" s="224">
        <f>LED!H47</f>
        <v>0</v>
      </c>
      <c r="D211" s="224">
        <f>LED!I47</f>
        <v>0</v>
      </c>
      <c r="E211" s="224">
        <f>LED!J47</f>
        <v>0</v>
      </c>
      <c r="F211" s="223">
        <f>LED!K47</f>
        <v>0</v>
      </c>
      <c r="G211" s="217">
        <v>0</v>
      </c>
      <c r="H211" s="223">
        <f t="shared" si="13"/>
        <v>0</v>
      </c>
      <c r="I211" s="217">
        <f>LED!L47</f>
        <v>216000</v>
      </c>
      <c r="J211" s="223">
        <f>LED!M47</f>
        <v>250000</v>
      </c>
      <c r="K211" s="223">
        <f>LED!N47</f>
        <v>250000</v>
      </c>
    </row>
    <row r="212" spans="1:12" x14ac:dyDescent="0.25">
      <c r="A212" s="191" t="s">
        <v>1154</v>
      </c>
      <c r="B212" s="224">
        <f>LED!G48</f>
        <v>0</v>
      </c>
      <c r="C212" s="224">
        <f>LED!H48</f>
        <v>0</v>
      </c>
      <c r="D212" s="224">
        <f>LED!I48</f>
        <v>0</v>
      </c>
      <c r="E212" s="224">
        <f>LED!J48</f>
        <v>0</v>
      </c>
      <c r="F212" s="223">
        <f>LED!K48</f>
        <v>0</v>
      </c>
      <c r="G212" s="217">
        <v>0</v>
      </c>
      <c r="H212" s="223">
        <f t="shared" si="13"/>
        <v>0</v>
      </c>
      <c r="I212" s="217">
        <f>LED!L48</f>
        <v>60000</v>
      </c>
      <c r="J212" s="223">
        <f>LED!M48</f>
        <v>120000</v>
      </c>
      <c r="K212" s="223">
        <f>LED!N48</f>
        <v>150000</v>
      </c>
    </row>
    <row r="213" spans="1:12" x14ac:dyDescent="0.25">
      <c r="A213" s="222" t="s">
        <v>226</v>
      </c>
      <c r="B213" s="224">
        <f>LED!G49+'Community Services'!H95+'Corporate Services'!G65+Agriculture!G43</f>
        <v>116300</v>
      </c>
      <c r="C213" s="224">
        <f>LED!H49+'Community Services'!I95+'Corporate Services'!H65+Agriculture!H43</f>
        <v>6410</v>
      </c>
      <c r="D213" s="224">
        <f>LED!I49+'Community Services'!J95+'Corporate Services'!I65+Agriculture!I43</f>
        <v>109890</v>
      </c>
      <c r="E213" s="224">
        <f>LED!J49+'Community Services'!K95+'Corporate Services'!J65+Agriculture!J43</f>
        <v>0</v>
      </c>
      <c r="F213" s="223">
        <f>LED!K49+'Community Services'!L95+'Corporate Services'!K65+Agriculture!K43</f>
        <v>116300</v>
      </c>
      <c r="G213" s="217">
        <v>0</v>
      </c>
      <c r="H213" s="223">
        <f t="shared" si="13"/>
        <v>116300</v>
      </c>
      <c r="I213" s="225">
        <f>LED!L49+'Community Services'!M95+'Corporate Services'!L65+Agriculture!L43</f>
        <v>97500</v>
      </c>
      <c r="J213" s="225">
        <f>LED!M49+'Community Services'!N95+'Corporate Services'!M65+Agriculture!M43</f>
        <v>99590</v>
      </c>
      <c r="K213" s="225">
        <f>LED!N49+'Community Services'!O95+'Corporate Services'!N65+Agriculture!N43</f>
        <v>101821.54999999999</v>
      </c>
    </row>
    <row r="214" spans="1:12" x14ac:dyDescent="0.25">
      <c r="A214" s="222" t="s">
        <v>1237</v>
      </c>
      <c r="B214" s="224">
        <f>Speaker!F47</f>
        <v>0</v>
      </c>
      <c r="C214" s="224">
        <f>Speaker!G47</f>
        <v>18400</v>
      </c>
      <c r="D214" s="224">
        <f>Speaker!H47</f>
        <v>-18400</v>
      </c>
      <c r="E214" s="224">
        <f>Speaker!I47</f>
        <v>18400</v>
      </c>
      <c r="F214" s="223">
        <f>Speaker!J47</f>
        <v>18400</v>
      </c>
      <c r="G214" s="217">
        <v>0</v>
      </c>
      <c r="H214" s="223">
        <f t="shared" si="13"/>
        <v>18400</v>
      </c>
      <c r="I214" s="225">
        <f>Speaker!K47</f>
        <v>150000</v>
      </c>
      <c r="J214" s="225">
        <f>Speaker!L47</f>
        <v>156600</v>
      </c>
      <c r="K214" s="225">
        <f>Speaker!M47</f>
        <v>163647</v>
      </c>
    </row>
    <row r="215" spans="1:12" ht="18.75" customHeight="1" x14ac:dyDescent="0.25">
      <c r="A215" s="222" t="s">
        <v>1239</v>
      </c>
      <c r="B215" s="224">
        <f>Speaker!F48</f>
        <v>0</v>
      </c>
      <c r="C215" s="224">
        <f>Speaker!G48</f>
        <v>0</v>
      </c>
      <c r="D215" s="224">
        <f>Speaker!H48</f>
        <v>0</v>
      </c>
      <c r="E215" s="224">
        <f>Speaker!I48</f>
        <v>0</v>
      </c>
      <c r="F215" s="223">
        <f>Speaker!J48</f>
        <v>0</v>
      </c>
      <c r="G215" s="217">
        <v>0</v>
      </c>
      <c r="H215" s="223">
        <f t="shared" si="13"/>
        <v>0</v>
      </c>
      <c r="I215" s="225">
        <f>Speaker!K48</f>
        <v>50000</v>
      </c>
      <c r="J215" s="225">
        <f>Speaker!L48</f>
        <v>52200</v>
      </c>
      <c r="K215" s="225">
        <f>Speaker!M48</f>
        <v>54548.999999999993</v>
      </c>
    </row>
    <row r="216" spans="1:12" ht="18.75" customHeight="1" x14ac:dyDescent="0.25">
      <c r="A216" s="222" t="s">
        <v>1238</v>
      </c>
      <c r="B216" s="224">
        <f>Speaker!F49</f>
        <v>0</v>
      </c>
      <c r="C216" s="224">
        <f>Speaker!G49</f>
        <v>0</v>
      </c>
      <c r="D216" s="224">
        <f>Speaker!H49</f>
        <v>0</v>
      </c>
      <c r="E216" s="224">
        <f>Speaker!I49</f>
        <v>0</v>
      </c>
      <c r="F216" s="223">
        <f>Speaker!J49</f>
        <v>0</v>
      </c>
      <c r="G216" s="217">
        <v>0</v>
      </c>
      <c r="H216" s="223">
        <f t="shared" si="13"/>
        <v>0</v>
      </c>
      <c r="I216" s="225">
        <f>Speaker!K49</f>
        <v>250000</v>
      </c>
      <c r="J216" s="225">
        <f>Speaker!L49</f>
        <v>261000</v>
      </c>
      <c r="K216" s="225">
        <f>Speaker!M49</f>
        <v>272745</v>
      </c>
    </row>
    <row r="217" spans="1:12" ht="18.75" customHeight="1" x14ac:dyDescent="0.25">
      <c r="A217" s="222" t="s">
        <v>1240</v>
      </c>
      <c r="B217" s="224">
        <f>Speaker!F51+'Chief Whip'!F34+'MAYCO &amp; COUNCIL'!G36+'Executive Mayor'!G82+'Office of the MM'!G55+IDP!G45+Finance!G51+LED!G50+'Community Services'!H96+'Corporate Services'!G66+Agriculture!G44+Infrastructure!G48</f>
        <v>843642</v>
      </c>
      <c r="C217" s="224">
        <f>Speaker!G51+'Chief Whip'!G34+'MAYCO &amp; COUNCIL'!H36+'Executive Mayor'!H82+'Office of the MM'!H55+IDP!H45+Finance!H51+LED!H50+'Community Services'!I96+'Corporate Services'!H66+Agriculture!H44+Infrastructure!H48</f>
        <v>448562.34</v>
      </c>
      <c r="D217" s="224">
        <f>Speaker!H51+'Chief Whip'!H34+'MAYCO &amp; COUNCIL'!I36+'Executive Mayor'!I82+'Office of the MM'!I55+IDP!I45+Finance!I51+LED!I50+'Community Services'!J96+'Corporate Services'!I66+Agriculture!I44+Infrastructure!I48</f>
        <v>395079.66</v>
      </c>
      <c r="E217" s="224">
        <f>Speaker!I51+'Chief Whip'!I34+'MAYCO &amp; COUNCIL'!J36+'Executive Mayor'!J82+'Office of the MM'!J55+IDP!J45+Finance!J51+LED!J50+'Community Services'!K96+'Corporate Services'!J66+Agriculture!J44+Infrastructure!J48</f>
        <v>663540</v>
      </c>
      <c r="F217" s="223">
        <f>Speaker!J51+'Chief Whip'!J34+'MAYCO &amp; COUNCIL'!K36+'Executive Mayor'!K82+'Office of the MM'!K55+IDP!K45+Finance!K51+LED!K50+'Community Services'!L96+'Corporate Services'!K66+Agriculture!K44+Infrastructure!K48</f>
        <v>1507182</v>
      </c>
      <c r="G217" s="217">
        <v>0</v>
      </c>
      <c r="H217" s="223">
        <f t="shared" si="13"/>
        <v>1507182</v>
      </c>
      <c r="I217" s="225">
        <f>Speaker!K51+'Chief Whip'!K34+'MAYCO &amp; COUNCIL'!L36+'Executive Mayor'!L82+'Office of the MM'!L55+IDP!L45+Finance!L51+LED!L50+'Community Services'!M96+'Corporate Services'!L66+Agriculture!L44+Infrastructure!N48</f>
        <v>1520260.3359999999</v>
      </c>
      <c r="J217" s="225">
        <f>Speaker!L51+'Chief Whip'!L34+'MAYCO &amp; COUNCIL'!M36+'Executive Mayor'!M82+'Office of the MM'!M55+IDP!M45+Finance!M51+LED!M50+'Community Services'!N96+'Corporate Services'!M66+Agriculture!M44+Infrastructure!O48</f>
        <v>1587151.7907840002</v>
      </c>
      <c r="K217" s="225">
        <f>Speaker!M51+'Chief Whip'!M34+'MAYCO &amp; COUNCIL'!N36+'Executive Mayor'!N82+'Office of the MM'!N55+IDP!N45+Finance!N51+LED!N50+'Community Services'!O96+'Corporate Services'!N66+Agriculture!N44+Infrastructure!P48</f>
        <v>1658573.6213692802</v>
      </c>
    </row>
    <row r="218" spans="1:12" ht="18.75" customHeight="1" x14ac:dyDescent="0.25">
      <c r="A218" s="222" t="s">
        <v>1245</v>
      </c>
      <c r="B218" s="224">
        <f>Speaker!F52+'Chief Whip'!F35+'MAYCO &amp; COUNCIL'!G37+'Executive Mayor'!G83+'Community Services'!H98+Agriculture!G45</f>
        <v>6754</v>
      </c>
      <c r="C218" s="224">
        <f>Speaker!G52+'Chief Whip'!G35+'MAYCO &amp; COUNCIL'!H37+'Executive Mayor'!H83+'Community Services'!I98+Agriculture!H45</f>
        <v>0</v>
      </c>
      <c r="D218" s="224">
        <f>Speaker!H52+'Chief Whip'!H35+'MAYCO &amp; COUNCIL'!I37+'Executive Mayor'!I83+'Community Services'!J98+Agriculture!I45</f>
        <v>6754</v>
      </c>
      <c r="E218" s="224">
        <f>Speaker!I52+'Chief Whip'!I35+'MAYCO &amp; COUNCIL'!J37+'Executive Mayor'!J83+'Community Services'!K98+Agriculture!J45</f>
        <v>0</v>
      </c>
      <c r="F218" s="223">
        <f>Speaker!J52+'Chief Whip'!J35+'MAYCO &amp; COUNCIL'!K37+'Executive Mayor'!K83+'Community Services'!L98+Agriculture!K45</f>
        <v>6754</v>
      </c>
      <c r="G218" s="217">
        <v>0</v>
      </c>
      <c r="H218" s="223">
        <f t="shared" si="13"/>
        <v>6754</v>
      </c>
      <c r="I218" s="225">
        <f>Speaker!K52+'Chief Whip'!K35+'MAYCO &amp; COUNCIL'!L37+'Executive Mayor'!L83+'Community Services'!M98+Agriculture!L45</f>
        <v>170200</v>
      </c>
      <c r="J218" s="225">
        <f>Speaker!L52+'Chief Whip'!L35+'MAYCO &amp; COUNCIL'!M37+'Executive Mayor'!M83+'Community Services'!N98+Agriculture!M45</f>
        <v>177688.8</v>
      </c>
      <c r="K218" s="225">
        <f>Speaker!M52+'Chief Whip'!M35+'MAYCO &amp; COUNCIL'!N37+'Executive Mayor'!N83+'Community Services'!O98+Agriculture!N45</f>
        <v>185684.79599999997</v>
      </c>
    </row>
    <row r="219" spans="1:12" ht="18.75" customHeight="1" x14ac:dyDescent="0.25">
      <c r="A219" s="222" t="s">
        <v>1243</v>
      </c>
      <c r="B219" s="224">
        <f>Speaker!F53+'Chief Whip'!F36+'MAYCO &amp; COUNCIL'!G38+'Executive Mayor'!G84+'Office of the MM'!G56+Agriculture!G46</f>
        <v>5715</v>
      </c>
      <c r="C219" s="224">
        <f>Speaker!G53+'Chief Whip'!G36+'MAYCO &amp; COUNCIL'!H38+'Executive Mayor'!H84+'Office of the MM'!H56+Agriculture!H46</f>
        <v>0</v>
      </c>
      <c r="D219" s="224">
        <f>Speaker!H53+'Chief Whip'!H36+'MAYCO &amp; COUNCIL'!I38+'Executive Mayor'!I84+'Office of the MM'!I56+Agriculture!I46</f>
        <v>5715</v>
      </c>
      <c r="E219" s="224">
        <f>Speaker!I53+'Chief Whip'!I36+'MAYCO &amp; COUNCIL'!J38+'Executive Mayor'!J84+'Office of the MM'!J56+Agriculture!J46</f>
        <v>0</v>
      </c>
      <c r="F219" s="223">
        <f>Speaker!J53+'Chief Whip'!J36+'MAYCO &amp; COUNCIL'!K38+'Executive Mayor'!K84+'Office of the MM'!K56+Agriculture!K46</f>
        <v>5715</v>
      </c>
      <c r="G219" s="217">
        <v>0</v>
      </c>
      <c r="H219" s="223">
        <f t="shared" si="13"/>
        <v>5715</v>
      </c>
      <c r="I219" s="225">
        <f>Speaker!K53+'Chief Whip'!K36+'MAYCO &amp; COUNCIL'!L38+'Executive Mayor'!L84+'Office of the MM'!L56+Agriculture!L46</f>
        <v>43722.703999999998</v>
      </c>
      <c r="J219" s="225">
        <f>Speaker!L53+'Chief Whip'!L36+'MAYCO &amp; COUNCIL'!M38+'Executive Mayor'!M84+'Office of the MM'!M56+Agriculture!M46</f>
        <v>45646.502976000003</v>
      </c>
      <c r="K219" s="225">
        <f>Speaker!M53+'Chief Whip'!M36+'MAYCO &amp; COUNCIL'!N38+'Executive Mayor'!N84+'Office of the MM'!N56+Agriculture!N46</f>
        <v>47700.595609919998</v>
      </c>
    </row>
    <row r="220" spans="1:12" ht="18.75" customHeight="1" x14ac:dyDescent="0.25">
      <c r="A220" s="222" t="s">
        <v>1241</v>
      </c>
      <c r="B220" s="224">
        <f>Speaker!F54+'Chief Whip'!F37+'MAYCO &amp; COUNCIL'!G39+'Executive Mayor'!G85+'Office of the MM'!G57+IDP!G46+Finance!G52+LED!G51+'Community Services'!H99+'Corporate Services'!G67+Agriculture!G47+Infrastructure!G49</f>
        <v>69770</v>
      </c>
      <c r="C220" s="224">
        <f>Speaker!G54+'Chief Whip'!G37+'MAYCO &amp; COUNCIL'!H39+'Executive Mayor'!H85+'Office of the MM'!H57+IDP!H46+Finance!H52+LED!H51+'Community Services'!I99+'Corporate Services'!H67+Agriculture!H47+Infrastructure!H49</f>
        <v>26181.19</v>
      </c>
      <c r="D220" s="224">
        <f>Speaker!H54+'Chief Whip'!H37+'MAYCO &amp; COUNCIL'!I39+'Executive Mayor'!I85+'Office of the MM'!I57+IDP!I46+Finance!I52+LED!I51+'Community Services'!J99+'Corporate Services'!I67+Agriculture!I47+Infrastructure!I49</f>
        <v>43588.81</v>
      </c>
      <c r="E220" s="224">
        <f>Speaker!I54+'Chief Whip'!I37+'MAYCO &amp; COUNCIL'!J39+'Executive Mayor'!J85+'Office of the MM'!J57+IDP!J46+Finance!J52+LED!J51+'Community Services'!K99+'Corporate Services'!J67+Agriculture!J47+Infrastructure!J49</f>
        <v>19428</v>
      </c>
      <c r="F220" s="223">
        <f>Speaker!J54+'Chief Whip'!J37+'MAYCO &amp; COUNCIL'!K39+'Executive Mayor'!K85+'Office of the MM'!K57+IDP!K46+Finance!K52+LED!K51+'Community Services'!L99+'Corporate Services'!K67+Agriculture!K47+Infrastructure!K49</f>
        <v>89198</v>
      </c>
      <c r="G220" s="217">
        <v>0</v>
      </c>
      <c r="H220" s="223">
        <f t="shared" si="13"/>
        <v>89198</v>
      </c>
      <c r="I220" s="225">
        <f>Speaker!K54+'Chief Whip'!K37+'MAYCO &amp; COUNCIL'!L39+'Executive Mayor'!L85+'Office of the MM'!L57+IDP!L46+Finance!L52+LED!L51+'Community Services'!M99+'Corporate Services'!L67+Agriculture!L47+Infrastructure!N49</f>
        <v>104826.84600000001</v>
      </c>
      <c r="J220" s="225">
        <f>Speaker!L54+'Chief Whip'!L37+'MAYCO &amp; COUNCIL'!M39+'Executive Mayor'!M85+'Office of the MM'!M57+IDP!M46+Finance!M52+LED!M51+'Community Services'!N99+'Corporate Services'!M67+Agriculture!M47+Infrastructure!O49</f>
        <v>109439.227224</v>
      </c>
      <c r="K220" s="225">
        <f>Speaker!M54+'Chief Whip'!M37+'MAYCO &amp; COUNCIL'!N39+'Executive Mayor'!N85+'Office of the MM'!N57+IDP!N46+Finance!N52+LED!N51+'Community Services'!O99+'Corporate Services'!N67+Agriculture!N47+Infrastructure!P49</f>
        <v>114363.99244907999</v>
      </c>
    </row>
    <row r="221" spans="1:12" ht="18.75" customHeight="1" x14ac:dyDescent="0.25">
      <c r="A221" s="222" t="s">
        <v>1242</v>
      </c>
      <c r="B221" s="224">
        <f>Speaker!F55+'MAYCO &amp; COUNCIL'!G40+'Executive Mayor'!G86+'Office of the MM'!G58+Finance!G53+LED!G52+'Community Services'!H100+'Corporate Services'!G68+Agriculture!G48+Infrastructure!G50</f>
        <v>3708</v>
      </c>
      <c r="C221" s="224">
        <f>Speaker!G55+'MAYCO &amp; COUNCIL'!H40+'Executive Mayor'!H86+'Office of the MM'!H58+Finance!H53+LED!H52+'Community Services'!I100+'Corporate Services'!H68+Agriculture!H48+Infrastructure!H50</f>
        <v>2000</v>
      </c>
      <c r="D221" s="224">
        <f>Speaker!H55+'MAYCO &amp; COUNCIL'!I40+'Executive Mayor'!I86+'Office of the MM'!I58+Finance!I53+LED!I52+'Community Services'!J100+'Corporate Services'!I68+Agriculture!I48+Infrastructure!I50</f>
        <v>1708</v>
      </c>
      <c r="E221" s="224">
        <f>Speaker!I55+'MAYCO &amp; COUNCIL'!J40+'Executive Mayor'!J86+'Office of the MM'!J58+Finance!J53+LED!J52+'Community Services'!K100+'Corporate Services'!J68+Agriculture!J48+Infrastructure!J50</f>
        <v>2922</v>
      </c>
      <c r="F221" s="223">
        <f>Speaker!J55+'MAYCO &amp; COUNCIL'!K40+'Executive Mayor'!K86+'Office of the MM'!K58+Finance!K53+LED!K52+'Community Services'!L100+'Corporate Services'!K68+Agriculture!K48+Infrastructure!K50</f>
        <v>6630</v>
      </c>
      <c r="G221" s="217">
        <v>0</v>
      </c>
      <c r="H221" s="223">
        <f t="shared" si="13"/>
        <v>6630</v>
      </c>
      <c r="I221" s="225">
        <f>Speaker!K55+'MAYCO &amp; COUNCIL'!L40+'Executive Mayor'!L86+'Office of the MM'!L58+Finance!L53+LED!L52+'Community Services'!M100+'Corporate Services'!L68+Agriculture!L48+Infrastructure!N50</f>
        <v>8141.384</v>
      </c>
      <c r="J221" s="225">
        <f>Speaker!L55+'MAYCO &amp; COUNCIL'!M40+'Executive Mayor'!M86+'Office of the MM'!M58+Finance!M53+LED!M52+'Community Services'!N100+'Corporate Services'!M68+Agriculture!M48+Infrastructure!O50</f>
        <v>8499.6048960000007</v>
      </c>
      <c r="K221" s="225">
        <f>Speaker!M55+'MAYCO &amp; COUNCIL'!N40+'Executive Mayor'!N86+'Office of the MM'!N58+Finance!N53+LED!N52+'Community Services'!O100+'Corporate Services'!N68+Agriculture!N48+Infrastructure!P50</f>
        <v>8882.087116319999</v>
      </c>
    </row>
    <row r="222" spans="1:12" x14ac:dyDescent="0.25">
      <c r="A222" s="222" t="s">
        <v>1251</v>
      </c>
      <c r="B222" s="224">
        <f>Speaker!F56+'Executive Mayor'!G87+LED!G53+'Corporate Services'!G69+Agriculture!G49+Infrastructure!G51</f>
        <v>26668</v>
      </c>
      <c r="C222" s="224">
        <f>Speaker!G56+'Executive Mayor'!H87+LED!H53+'Corporate Services'!H69+Agriculture!H49+Infrastructure!H51</f>
        <v>16233.310000000001</v>
      </c>
      <c r="D222" s="224">
        <f>Speaker!H56+'Executive Mayor'!I87+LED!I53+'Corporate Services'!I69+Agriculture!I49+Infrastructure!I51</f>
        <v>10434.689999999999</v>
      </c>
      <c r="E222" s="224">
        <f>Speaker!I56+'Executive Mayor'!J87+LED!J53+'Corporate Services'!J69+Agriculture!J49+Infrastructure!J51</f>
        <v>25000</v>
      </c>
      <c r="F222" s="223">
        <f>Speaker!J56+'Executive Mayor'!K87+LED!K53+'Corporate Services'!K69+Agriculture!K49+Infrastructure!K51</f>
        <v>51668</v>
      </c>
      <c r="G222" s="217">
        <v>0</v>
      </c>
      <c r="H222" s="223">
        <f t="shared" si="13"/>
        <v>51668</v>
      </c>
      <c r="I222" s="217">
        <f>Speaker!K56+'Executive Mayor'!L87+LED!L53+'Corporate Services'!L69+Agriculture!L49+Infrastructure!N51</f>
        <v>78020</v>
      </c>
      <c r="J222" s="223">
        <f>Speaker!L56+'Executive Mayor'!M87+LED!M53+'Corporate Services'!M69+Agriculture!M49+Infrastructure!O51</f>
        <v>50132.880000000005</v>
      </c>
      <c r="K222" s="223">
        <f>Speaker!M56+'Executive Mayor'!N87+LED!N53+'Corporate Services'!N69+Agriculture!N49+Infrastructure!P51</f>
        <v>52388.859599999996</v>
      </c>
    </row>
    <row r="223" spans="1:12" ht="18.75" customHeight="1" x14ac:dyDescent="0.25">
      <c r="A223" s="222" t="s">
        <v>1244</v>
      </c>
      <c r="B223" s="224">
        <f>Speaker!F57+'MAYCO &amp; COUNCIL'!G41+'Executive Mayor'!G88+'Office of the MM'!G59+IDP!G47+Finance!G54+LED!G54+'Community Services'!H97+'Corporate Services'!G70+Agriculture!G50+Infrastructure!G52</f>
        <v>214444.2</v>
      </c>
      <c r="C223" s="224">
        <f>Speaker!G57+'MAYCO &amp; COUNCIL'!H41+'Executive Mayor'!H88+'Office of the MM'!H59+IDP!H47+Finance!H54+LED!H54+'Community Services'!I97+'Corporate Services'!H70+Agriculture!H50+Infrastructure!H52</f>
        <v>155064.75</v>
      </c>
      <c r="D223" s="224">
        <f>Speaker!H57+'MAYCO &amp; COUNCIL'!I41+'Executive Mayor'!I88+'Office of the MM'!I59+IDP!I47+Finance!I54+LED!I54+'Community Services'!J97+'Corporate Services'!I70+Agriculture!I50+Infrastructure!I52</f>
        <v>59379.45</v>
      </c>
      <c r="E223" s="224">
        <f>Speaker!I57+'MAYCO &amp; COUNCIL'!J41+'Executive Mayor'!J88+'Office of the MM'!J59+IDP!J47+Finance!J54+LED!J54+'Community Services'!K97+'Corporate Services'!J70+Agriculture!J50+Infrastructure!J52</f>
        <v>119326</v>
      </c>
      <c r="F223" s="223">
        <v>297270</v>
      </c>
      <c r="G223" s="217">
        <v>0</v>
      </c>
      <c r="H223" s="223">
        <f t="shared" si="13"/>
        <v>297270</v>
      </c>
      <c r="I223" s="225">
        <f>Speaker!K57+'MAYCO &amp; COUNCIL'!L41+'Executive Mayor'!L88+'Office of the MM'!L59+IDP!L47+Finance!L54+LED!L54+'Community Services'!M97+'Corporate Services'!L70+Agriculture!L50+Infrastructure!N52</f>
        <v>372698.39360000007</v>
      </c>
      <c r="J223" s="225">
        <f>Speaker!L57+'MAYCO &amp; COUNCIL'!M41+'Executive Mayor'!M88+'Office of the MM'!M59+IDP!M47+Finance!M54+LED!M54+'Community Services'!N97+'Corporate Services'!M70+Agriculture!M50+Infrastructure!O52</f>
        <v>389097.12291839992</v>
      </c>
      <c r="K223" s="225">
        <f>Speaker!M57+'MAYCO &amp; COUNCIL'!N41+'Executive Mayor'!N88+'Office of the MM'!N59+IDP!N47+Finance!N54+LED!N54+'Community Services'!O97+'Corporate Services'!N70+Agriculture!N50+Infrastructure!P52</f>
        <v>406606.493449728</v>
      </c>
    </row>
    <row r="224" spans="1:12" ht="18.75" customHeight="1" x14ac:dyDescent="0.25">
      <c r="A224" s="222" t="s">
        <v>1246</v>
      </c>
      <c r="B224" s="224">
        <f>Speaker!F58+'Chief Whip'!F38+'MAYCO &amp; COUNCIL'!G42+'Executive Mayor'!G89+'Office of the MM'!G60+IDP!G48+Finance!G55+LED!G55+'Community Services'!H101+'Corporate Services'!G71+Agriculture!G51+Infrastructure!G53</f>
        <v>34592</v>
      </c>
      <c r="C224" s="224">
        <f>Speaker!G58+'Chief Whip'!G38+'MAYCO &amp; COUNCIL'!H42+'Executive Mayor'!H89+'Office of the MM'!H60+IDP!H48+Finance!H55+LED!H55+'Community Services'!I101+'Corporate Services'!H71+Agriculture!H51+Infrastructure!H53</f>
        <v>26710.99</v>
      </c>
      <c r="D224" s="224">
        <f>Speaker!H58+'Chief Whip'!H38+'MAYCO &amp; COUNCIL'!I42+'Executive Mayor'!I89+'Office of the MM'!I60+IDP!I48+Finance!I55+LED!I55+'Community Services'!J101+'Corporate Services'!I71+Agriculture!I51+Infrastructure!I53</f>
        <v>7881.01</v>
      </c>
      <c r="E224" s="224">
        <f>Speaker!I58+'Chief Whip'!I38+'MAYCO &amp; COUNCIL'!J42+'Executive Mayor'!J89+'Office of the MM'!J60+IDP!J48+Finance!J55+LED!J55+'Community Services'!K101+'Corporate Services'!J71+Agriculture!J51+Infrastructure!J53</f>
        <v>36869</v>
      </c>
      <c r="F224" s="223">
        <f>Speaker!J58+'Chief Whip'!J38+'MAYCO &amp; COUNCIL'!K42+'Executive Mayor'!K89+'Office of the MM'!K60+IDP!K48+Finance!K55+LED!K55+'Community Services'!L101+'Corporate Services'!K71+Agriculture!K51+Infrastructure!K53</f>
        <v>71461</v>
      </c>
      <c r="G224" s="217">
        <v>0</v>
      </c>
      <c r="H224" s="223">
        <f t="shared" si="13"/>
        <v>71461</v>
      </c>
      <c r="I224" s="225">
        <f>Speaker!K58+'Chief Whip'!K38+'MAYCO &amp; COUNCIL'!L42+'Executive Mayor'!L89+'Office of the MM'!L60+IDP!L48+Finance!L55+LED!L55+'Community Services'!M101+'Corporate Services'!L71+Agriculture!L51+Infrastructure!N53</f>
        <v>89268.466</v>
      </c>
      <c r="J224" s="225">
        <f>Speaker!L58+'Chief Whip'!L38+'MAYCO &amp; COUNCIL'!M42+'Executive Mayor'!M89+'Office of the MM'!M60+IDP!M48+Finance!M55+LED!M55+'Community Services'!N101+'Corporate Services'!M71+Agriculture!M51+Infrastructure!O53</f>
        <v>92947.630544000029</v>
      </c>
      <c r="K224" s="225">
        <f>Speaker!M58+'Chief Whip'!M38+'MAYCO &amp; COUNCIL'!N42+'Executive Mayor'!N89+'Office of the MM'!N60+IDP!N48+Finance!N55+LED!N55+'Community Services'!O101+'Corporate Services'!N71+Agriculture!N51+Infrastructure!P53</f>
        <v>97250.198868480002</v>
      </c>
    </row>
    <row r="225" spans="1:11" ht="18.75" customHeight="1" x14ac:dyDescent="0.25">
      <c r="A225" s="222" t="s">
        <v>335</v>
      </c>
      <c r="B225" s="224">
        <f>'Community Services'!H102+'Corporate Services'!G72+Agriculture!G41+Infrastructure!G40</f>
        <v>656000</v>
      </c>
      <c r="C225" s="224">
        <f>'Community Services'!I102+'Corporate Services'!H72+Agriculture!H41+Infrastructure!H40</f>
        <v>0</v>
      </c>
      <c r="D225" s="224">
        <f>'Community Services'!J102+'Corporate Services'!I72+Agriculture!I41+Infrastructure!I40</f>
        <v>656000</v>
      </c>
      <c r="E225" s="224">
        <f>'Community Services'!K102+'Corporate Services'!J72+Agriculture!J41+Infrastructure!J40</f>
        <v>0</v>
      </c>
      <c r="F225" s="223">
        <f>'Community Services'!L102+'Corporate Services'!K72+Agriculture!K41+Infrastructure!K40</f>
        <v>656000</v>
      </c>
      <c r="G225" s="217">
        <v>0</v>
      </c>
      <c r="H225" s="223">
        <f t="shared" si="13"/>
        <v>656000</v>
      </c>
      <c r="I225" s="225">
        <f>'Community Services'!M102+'Corporate Services'!L72+Agriculture!L41+Infrastructure!N40+'Executive Mayor'!L53</f>
        <v>699896</v>
      </c>
      <c r="J225" s="225">
        <f>'Community Services'!N102+'Corporate Services'!M72+Agriculture!M41+Infrastructure!O40+'Executive Mayor'!M53</f>
        <v>131320</v>
      </c>
      <c r="K225" s="225">
        <f>'Community Services'!O102+'Corporate Services'!N72+Agriculture!N41+Infrastructure!P40+'Executive Mayor'!N53</f>
        <v>132729.4</v>
      </c>
    </row>
    <row r="226" spans="1:11" ht="18.75" hidden="1" customHeight="1" x14ac:dyDescent="0.25">
      <c r="A226" s="191" t="s">
        <v>1162</v>
      </c>
      <c r="B226" s="224">
        <f>'Community Services'!H103</f>
        <v>0</v>
      </c>
      <c r="C226" s="224">
        <f>'Community Services'!I103</f>
        <v>0</v>
      </c>
      <c r="D226" s="224">
        <f>'Community Services'!J103</f>
        <v>0</v>
      </c>
      <c r="E226" s="224">
        <f>'Community Services'!K103</f>
        <v>0</v>
      </c>
      <c r="F226" s="223">
        <f>'Community Services'!L103</f>
        <v>0</v>
      </c>
      <c r="G226" s="217">
        <v>0</v>
      </c>
      <c r="H226" s="223">
        <f t="shared" si="13"/>
        <v>0</v>
      </c>
      <c r="I226" s="225">
        <f>'Community Services'!M103</f>
        <v>0</v>
      </c>
      <c r="J226" s="225">
        <f>'Community Services'!N103</f>
        <v>0</v>
      </c>
      <c r="K226" s="225">
        <f>'Community Services'!O103</f>
        <v>0</v>
      </c>
    </row>
    <row r="227" spans="1:11" x14ac:dyDescent="0.25">
      <c r="A227" s="191" t="s">
        <v>1160</v>
      </c>
      <c r="B227" s="224">
        <f>'Community Services'!H104</f>
        <v>0</v>
      </c>
      <c r="C227" s="224">
        <f>'Community Services'!I104</f>
        <v>0</v>
      </c>
      <c r="D227" s="224">
        <f>'Community Services'!J104</f>
        <v>0</v>
      </c>
      <c r="E227" s="224">
        <f>'Community Services'!K104</f>
        <v>0</v>
      </c>
      <c r="F227" s="223">
        <f>'Community Services'!L104</f>
        <v>0</v>
      </c>
      <c r="G227" s="217">
        <v>0</v>
      </c>
      <c r="H227" s="223">
        <f t="shared" si="13"/>
        <v>0</v>
      </c>
      <c r="I227" s="225">
        <f>'Community Services'!M104</f>
        <v>385000</v>
      </c>
      <c r="J227" s="225">
        <f>'Community Services'!N104</f>
        <v>0</v>
      </c>
      <c r="K227" s="225">
        <f>'Community Services'!O104</f>
        <v>0</v>
      </c>
    </row>
    <row r="228" spans="1:11" hidden="1" x14ac:dyDescent="0.25">
      <c r="A228" s="191" t="s">
        <v>1161</v>
      </c>
      <c r="B228" s="224">
        <f>'Community Services'!H105</f>
        <v>0</v>
      </c>
      <c r="C228" s="224">
        <f>'Community Services'!I105</f>
        <v>0</v>
      </c>
      <c r="D228" s="224">
        <f>'Community Services'!J105</f>
        <v>0</v>
      </c>
      <c r="E228" s="224">
        <f>'Community Services'!K105</f>
        <v>0</v>
      </c>
      <c r="F228" s="223">
        <f>'Community Services'!L105</f>
        <v>0</v>
      </c>
      <c r="G228" s="217">
        <v>0</v>
      </c>
      <c r="H228" s="223">
        <f t="shared" si="13"/>
        <v>0</v>
      </c>
      <c r="I228" s="225">
        <f>'Community Services'!M105</f>
        <v>0</v>
      </c>
      <c r="J228" s="225">
        <f>'Community Services'!N105</f>
        <v>0</v>
      </c>
      <c r="K228" s="225">
        <f>'Community Services'!O105</f>
        <v>0</v>
      </c>
    </row>
    <row r="229" spans="1:11" x14ac:dyDescent="0.25">
      <c r="A229" s="222" t="s">
        <v>929</v>
      </c>
      <c r="B229" s="224">
        <f>'Corporate Services'!G73</f>
        <v>1200000</v>
      </c>
      <c r="C229" s="224">
        <f>'Corporate Services'!H73</f>
        <v>0</v>
      </c>
      <c r="D229" s="224">
        <f>'Corporate Services'!I73</f>
        <v>1200000</v>
      </c>
      <c r="E229" s="224">
        <f>'Corporate Services'!J73</f>
        <v>-400000</v>
      </c>
      <c r="F229" s="223">
        <f>'Corporate Services'!K73</f>
        <v>800000</v>
      </c>
      <c r="G229" s="217">
        <v>0</v>
      </c>
      <c r="H229" s="223">
        <f t="shared" si="13"/>
        <v>800000</v>
      </c>
      <c r="I229" s="225">
        <f>'Corporate Services'!L73</f>
        <v>847100</v>
      </c>
      <c r="J229" s="225">
        <f>'Corporate Services'!M73</f>
        <v>800000</v>
      </c>
      <c r="K229" s="225">
        <f>'Corporate Services'!N73</f>
        <v>600000</v>
      </c>
    </row>
    <row r="230" spans="1:11" ht="18.75" customHeight="1" x14ac:dyDescent="0.25">
      <c r="A230" s="222" t="s">
        <v>203</v>
      </c>
      <c r="B230" s="224">
        <f>'Corporate Services'!G74</f>
        <v>689046</v>
      </c>
      <c r="C230" s="224">
        <f>'Corporate Services'!H74</f>
        <v>0</v>
      </c>
      <c r="D230" s="224">
        <f>'Corporate Services'!I74</f>
        <v>689046</v>
      </c>
      <c r="E230" s="224">
        <f>'Corporate Services'!J74</f>
        <v>0</v>
      </c>
      <c r="F230" s="223">
        <f>'Corporate Services'!K74</f>
        <v>689046</v>
      </c>
      <c r="G230" s="217">
        <v>0</v>
      </c>
      <c r="H230" s="223">
        <f t="shared" si="13"/>
        <v>689046</v>
      </c>
      <c r="I230" s="225">
        <f>'Corporate Services'!L74</f>
        <v>722120.20799999998</v>
      </c>
      <c r="J230" s="225">
        <f>'Corporate Services'!M74</f>
        <v>753893.49715199997</v>
      </c>
      <c r="K230" s="225">
        <f>'Corporate Services'!N74</f>
        <v>787818.70452383987</v>
      </c>
    </row>
    <row r="231" spans="1:11" ht="18.75" customHeight="1" x14ac:dyDescent="0.25">
      <c r="A231" s="222" t="s">
        <v>112</v>
      </c>
      <c r="B231" s="224">
        <f>'Office of the MM'!G63+Finance!G56+LED!G56</f>
        <v>41560</v>
      </c>
      <c r="C231" s="224">
        <f>'Office of the MM'!H63+Finance!H56+LED!H56</f>
        <v>12862.5</v>
      </c>
      <c r="D231" s="224">
        <f>'Office of the MM'!I63+Finance!I56+LED!I56</f>
        <v>28697.5</v>
      </c>
      <c r="E231" s="224">
        <f>'Office of the MM'!J63+Finance!J56+LED!J56</f>
        <v>0</v>
      </c>
      <c r="F231" s="223">
        <f>'Office of the MM'!K63+Finance!K56+LED!K56</f>
        <v>41560</v>
      </c>
      <c r="G231" s="217">
        <v>0</v>
      </c>
      <c r="H231" s="223">
        <f t="shared" si="13"/>
        <v>41560</v>
      </c>
      <c r="I231" s="225">
        <f>'Office of the MM'!L63+Finance!L56+LED!L56</f>
        <v>60574.880000000005</v>
      </c>
      <c r="J231" s="225">
        <f>'Office of the MM'!M63+Finance!M56+LED!M56</f>
        <v>63240.17472000001</v>
      </c>
      <c r="K231" s="225">
        <f>'Office of the MM'!N63+Finance!N56+LED!N56</f>
        <v>66085.9825824</v>
      </c>
    </row>
    <row r="232" spans="1:11" ht="18.75" hidden="1" customHeight="1" x14ac:dyDescent="0.25">
      <c r="A232" s="191" t="s">
        <v>1182</v>
      </c>
      <c r="B232" s="224">
        <f>'Community Services'!H106</f>
        <v>0</v>
      </c>
      <c r="C232" s="224">
        <f>'Community Services'!I106</f>
        <v>0</v>
      </c>
      <c r="D232" s="224">
        <f>'Community Services'!J106</f>
        <v>0</v>
      </c>
      <c r="E232" s="224">
        <f>'Community Services'!K106</f>
        <v>0</v>
      </c>
      <c r="F232" s="223">
        <f>'Community Services'!L106</f>
        <v>0</v>
      </c>
      <c r="G232" s="217">
        <v>0</v>
      </c>
      <c r="H232" s="223">
        <f t="shared" si="13"/>
        <v>0</v>
      </c>
      <c r="I232" s="225">
        <f>'Community Services'!M106</f>
        <v>0</v>
      </c>
      <c r="J232" s="225">
        <f>'Community Services'!N106</f>
        <v>0</v>
      </c>
      <c r="K232" s="225">
        <f>'Community Services'!O106</f>
        <v>0</v>
      </c>
    </row>
    <row r="233" spans="1:11" ht="18.75" customHeight="1" x14ac:dyDescent="0.25">
      <c r="A233" s="227" t="s">
        <v>584</v>
      </c>
      <c r="B233" s="224">
        <f>'Executive Mayor'!G91</f>
        <v>67433</v>
      </c>
      <c r="C233" s="224">
        <f>'Executive Mayor'!H91</f>
        <v>0</v>
      </c>
      <c r="D233" s="224">
        <f>'Executive Mayor'!I91</f>
        <v>67433</v>
      </c>
      <c r="E233" s="224">
        <f>'Executive Mayor'!J91</f>
        <v>0</v>
      </c>
      <c r="F233" s="223">
        <f>'Executive Mayor'!K91</f>
        <v>67433</v>
      </c>
      <c r="G233" s="217">
        <v>0</v>
      </c>
      <c r="H233" s="223">
        <f t="shared" si="13"/>
        <v>67433</v>
      </c>
      <c r="I233" s="225">
        <f>'Executive Mayor'!L91</f>
        <v>70669.784</v>
      </c>
      <c r="J233" s="225">
        <f>'Executive Mayor'!M91</f>
        <v>73779.254496000009</v>
      </c>
      <c r="K233" s="225">
        <f>'Executive Mayor'!N91</f>
        <v>77099.320948320004</v>
      </c>
    </row>
    <row r="234" spans="1:11" x14ac:dyDescent="0.25">
      <c r="A234" s="227" t="s">
        <v>481</v>
      </c>
      <c r="B234" s="224">
        <f>'Executive Mayor'!G92</f>
        <v>129164</v>
      </c>
      <c r="C234" s="224">
        <f>'Executive Mayor'!H92</f>
        <v>22400</v>
      </c>
      <c r="D234" s="224">
        <f>'Executive Mayor'!I92</f>
        <v>106764</v>
      </c>
      <c r="E234" s="224">
        <f>'Executive Mayor'!J92</f>
        <v>0</v>
      </c>
      <c r="F234" s="223">
        <f>'Executive Mayor'!K92</f>
        <v>129164</v>
      </c>
      <c r="G234" s="217">
        <v>0</v>
      </c>
      <c r="H234" s="223">
        <f t="shared" si="13"/>
        <v>129164</v>
      </c>
      <c r="I234" s="225">
        <f>'Executive Mayor'!L92</f>
        <v>135363.872</v>
      </c>
      <c r="J234" s="225">
        <f>'Executive Mayor'!M92</f>
        <v>141319.88236800002</v>
      </c>
      <c r="K234" s="223">
        <f>'Executive Mayor'!N92</f>
        <v>147679.27707456</v>
      </c>
    </row>
    <row r="235" spans="1:11" ht="18.75" customHeight="1" x14ac:dyDescent="0.25">
      <c r="A235" s="236" t="s">
        <v>1247</v>
      </c>
      <c r="B235" s="224">
        <f>'Executive Mayor'!G43</f>
        <v>52881</v>
      </c>
      <c r="C235" s="224">
        <f>'Executive Mayor'!H43</f>
        <v>0</v>
      </c>
      <c r="D235" s="224">
        <f>'Executive Mayor'!I43</f>
        <v>52881</v>
      </c>
      <c r="E235" s="223">
        <f>'Executive Mayor'!J43</f>
        <v>0</v>
      </c>
      <c r="F235" s="223">
        <f>'Executive Mayor'!K43</f>
        <v>52881</v>
      </c>
      <c r="G235" s="217">
        <v>0</v>
      </c>
      <c r="H235" s="223">
        <f t="shared" si="13"/>
        <v>52881</v>
      </c>
      <c r="I235" s="225">
        <f>'Executive Mayor'!L43</f>
        <v>60000</v>
      </c>
      <c r="J235" s="225">
        <f>'Executive Mayor'!M43</f>
        <v>62640</v>
      </c>
      <c r="K235" s="223">
        <f>'Executive Mayor'!N43</f>
        <v>65458.799999999996</v>
      </c>
    </row>
    <row r="236" spans="1:11" ht="18.75" customHeight="1" x14ac:dyDescent="0.25">
      <c r="A236" s="236" t="s">
        <v>953</v>
      </c>
      <c r="B236" s="224">
        <f>'Executive Mayor'!G90</f>
        <v>58757</v>
      </c>
      <c r="C236" s="223">
        <f>'Executive Mayor'!H90</f>
        <v>0</v>
      </c>
      <c r="D236" s="224">
        <f>'Executive Mayor'!I90</f>
        <v>58757</v>
      </c>
      <c r="E236" s="223">
        <f>'Executive Mayor'!J90</f>
        <v>0</v>
      </c>
      <c r="F236" s="223">
        <f>'Executive Mayor'!K90</f>
        <v>58757</v>
      </c>
      <c r="G236" s="217">
        <v>0</v>
      </c>
      <c r="H236" s="223">
        <f t="shared" si="13"/>
        <v>58757</v>
      </c>
      <c r="I236" s="225">
        <f>'Executive Mayor'!L90</f>
        <v>61577.336000000003</v>
      </c>
      <c r="J236" s="225">
        <f>'Executive Mayor'!M90</f>
        <v>64286.738784000008</v>
      </c>
      <c r="K236" s="223">
        <f>'Executive Mayor'!N90</f>
        <v>67179.642029280003</v>
      </c>
    </row>
    <row r="237" spans="1:11" ht="18.75" hidden="1" customHeight="1" x14ac:dyDescent="0.25">
      <c r="A237" s="236" t="s">
        <v>951</v>
      </c>
      <c r="B237" s="224">
        <f>+'Executive Mayor'!G86</f>
        <v>0</v>
      </c>
      <c r="C237" s="223">
        <f>+'Executive Mayor'!H86</f>
        <v>0</v>
      </c>
      <c r="D237" s="224">
        <f>+'Executive Mayor'!I86</f>
        <v>0</v>
      </c>
      <c r="E237" s="223">
        <f>+'Executive Mayor'!J86</f>
        <v>0</v>
      </c>
      <c r="F237" s="223">
        <f>+'Executive Mayor'!K86</f>
        <v>0</v>
      </c>
      <c r="G237" s="217"/>
      <c r="H237" s="223">
        <f t="shared" si="13"/>
        <v>0</v>
      </c>
      <c r="I237" s="225">
        <f>+'Executive Mayor'!L86</f>
        <v>0</v>
      </c>
      <c r="J237" s="225">
        <f>+'Executive Mayor'!M86</f>
        <v>0</v>
      </c>
      <c r="K237" s="223">
        <f>+'Executive Mayor'!N86</f>
        <v>0</v>
      </c>
    </row>
    <row r="238" spans="1:11" hidden="1" x14ac:dyDescent="0.25">
      <c r="A238" s="236"/>
      <c r="B238" s="224"/>
      <c r="C238" s="223"/>
      <c r="D238" s="224"/>
      <c r="E238" s="223"/>
      <c r="F238" s="223">
        <v>64254</v>
      </c>
      <c r="G238" s="217"/>
      <c r="H238" s="223">
        <f t="shared" si="13"/>
        <v>64254</v>
      </c>
      <c r="I238" s="225"/>
      <c r="J238" s="225"/>
      <c r="K238" s="223"/>
    </row>
    <row r="239" spans="1:11" x14ac:dyDescent="0.25">
      <c r="A239" s="236" t="s">
        <v>1259</v>
      </c>
      <c r="B239" s="224"/>
      <c r="C239" s="223"/>
      <c r="D239" s="224"/>
      <c r="E239" s="223"/>
      <c r="F239" s="223"/>
      <c r="G239" s="217">
        <f>Infrastructure!L54</f>
        <v>150000</v>
      </c>
      <c r="H239" s="223">
        <f t="shared" si="13"/>
        <v>150000</v>
      </c>
      <c r="I239" s="225">
        <f>Infrastructure!N54</f>
        <v>142400</v>
      </c>
      <c r="J239" s="225">
        <f>Infrastructure!O54</f>
        <v>148665.60000000001</v>
      </c>
      <c r="K239" s="225">
        <f>Infrastructure!P54</f>
        <v>155355.552</v>
      </c>
    </row>
    <row r="240" spans="1:11" x14ac:dyDescent="0.25">
      <c r="A240" s="236" t="s">
        <v>1260</v>
      </c>
      <c r="B240" s="224"/>
      <c r="C240" s="223"/>
      <c r="D240" s="224"/>
      <c r="E240" s="223"/>
      <c r="F240" s="223"/>
      <c r="G240" s="217">
        <f>Infrastructure!L55</f>
        <v>250000</v>
      </c>
      <c r="H240" s="223">
        <f t="shared" si="13"/>
        <v>250000</v>
      </c>
      <c r="I240" s="225">
        <f>Infrastructure!N55</f>
        <v>200200</v>
      </c>
      <c r="J240" s="225">
        <f>Infrastructure!O55</f>
        <v>209008.80000000002</v>
      </c>
      <c r="K240" s="225">
        <f>Infrastructure!P55</f>
        <v>218414.196</v>
      </c>
    </row>
    <row r="241" spans="1:15" x14ac:dyDescent="0.25">
      <c r="A241" s="236" t="s">
        <v>1261</v>
      </c>
      <c r="B241" s="224"/>
      <c r="C241" s="223"/>
      <c r="D241" s="224"/>
      <c r="E241" s="223"/>
      <c r="F241" s="223"/>
      <c r="G241" s="217">
        <f>Infrastructure!L56</f>
        <v>250000</v>
      </c>
      <c r="H241" s="223">
        <f t="shared" si="13"/>
        <v>250000</v>
      </c>
      <c r="I241" s="225">
        <f>Infrastructure!N56</f>
        <v>212000</v>
      </c>
      <c r="J241" s="225">
        <f>Infrastructure!O56</f>
        <v>221328</v>
      </c>
      <c r="K241" s="225">
        <f>Infrastructure!P56</f>
        <v>231287.75999999998</v>
      </c>
    </row>
    <row r="242" spans="1:15" x14ac:dyDescent="0.25">
      <c r="A242" s="236" t="s">
        <v>1285</v>
      </c>
      <c r="B242" s="224"/>
      <c r="C242" s="223"/>
      <c r="D242" s="224"/>
      <c r="E242" s="223"/>
      <c r="F242" s="223"/>
      <c r="G242" s="217">
        <v>0</v>
      </c>
      <c r="H242" s="223">
        <f t="shared" si="13"/>
        <v>0</v>
      </c>
      <c r="I242" s="225">
        <f>'Office of the MM'!L62</f>
        <v>50000</v>
      </c>
      <c r="J242" s="248">
        <f>'Office of the MM'!M62</f>
        <v>0</v>
      </c>
      <c r="K242" s="248">
        <f>'Office of the MM'!N62</f>
        <v>0</v>
      </c>
    </row>
    <row r="243" spans="1:15" x14ac:dyDescent="0.25">
      <c r="A243" s="236" t="s">
        <v>1314</v>
      </c>
      <c r="B243" s="224"/>
      <c r="C243" s="223"/>
      <c r="D243" s="224"/>
      <c r="E243" s="223"/>
      <c r="F243" s="223"/>
      <c r="G243" s="217">
        <v>0</v>
      </c>
      <c r="H243" s="223">
        <f t="shared" si="13"/>
        <v>0</v>
      </c>
      <c r="I243" s="225">
        <f>'MAYCO &amp; COUNCIL'!L35</f>
        <v>21600</v>
      </c>
      <c r="J243" s="248">
        <f>'MAYCO &amp; COUNCIL'!M35</f>
        <v>21600</v>
      </c>
      <c r="K243" s="248">
        <f>'MAYCO &amp; COUNCIL'!N35</f>
        <v>21600</v>
      </c>
    </row>
    <row r="244" spans="1:15" x14ac:dyDescent="0.25">
      <c r="A244" s="236" t="s">
        <v>1262</v>
      </c>
      <c r="B244" s="224"/>
      <c r="C244" s="223"/>
      <c r="D244" s="224"/>
      <c r="E244" s="223"/>
      <c r="F244" s="223"/>
      <c r="G244" s="217">
        <f>Infrastructure!L57</f>
        <v>371345</v>
      </c>
      <c r="H244" s="223">
        <f t="shared" si="13"/>
        <v>371345</v>
      </c>
      <c r="I244" s="225">
        <f>Infrastructure!N57</f>
        <v>389169.56</v>
      </c>
      <c r="J244" s="225">
        <f>Infrastructure!O57</f>
        <v>406293.02064</v>
      </c>
      <c r="K244" s="225">
        <f>Infrastructure!P57</f>
        <v>424576.20656879997</v>
      </c>
    </row>
    <row r="245" spans="1:15" x14ac:dyDescent="0.25">
      <c r="A245" s="236" t="s">
        <v>1263</v>
      </c>
      <c r="B245" s="224"/>
      <c r="C245" s="223"/>
      <c r="D245" s="224"/>
      <c r="E245" s="223"/>
      <c r="F245" s="223"/>
      <c r="G245" s="217">
        <f>Infrastructure!L59</f>
        <v>250000</v>
      </c>
      <c r="H245" s="223">
        <f t="shared" si="13"/>
        <v>250000</v>
      </c>
      <c r="I245" s="225">
        <f>Infrastructure!N59</f>
        <v>176291.625</v>
      </c>
      <c r="J245" s="225">
        <f>Infrastructure!O59</f>
        <v>184048.4565</v>
      </c>
      <c r="K245" s="225">
        <f>Infrastructure!P59</f>
        <v>192330.63704249999</v>
      </c>
    </row>
    <row r="246" spans="1:15" x14ac:dyDescent="0.25">
      <c r="A246" s="236" t="s">
        <v>1266</v>
      </c>
      <c r="B246" s="224"/>
      <c r="C246" s="223"/>
      <c r="D246" s="224"/>
      <c r="E246" s="223"/>
      <c r="F246" s="223"/>
      <c r="G246" s="217">
        <f>Infrastructure!L62</f>
        <v>250000</v>
      </c>
      <c r="H246" s="223">
        <f t="shared" si="13"/>
        <v>250000</v>
      </c>
      <c r="I246" s="225">
        <f>Infrastructure!N63</f>
        <v>0</v>
      </c>
      <c r="J246" s="225">
        <f>Infrastructure!O63</f>
        <v>85000</v>
      </c>
      <c r="K246" s="225">
        <f>Infrastructure!P63</f>
        <v>88825</v>
      </c>
    </row>
    <row r="247" spans="1:15" ht="16.5" thickBot="1" x14ac:dyDescent="0.3">
      <c r="A247" s="236" t="s">
        <v>1268</v>
      </c>
      <c r="B247" s="224"/>
      <c r="C247" s="249"/>
      <c r="D247" s="224"/>
      <c r="E247" s="223"/>
      <c r="F247" s="223"/>
      <c r="G247" s="217">
        <f>Infrastructure!L65</f>
        <v>60000</v>
      </c>
      <c r="H247" s="223">
        <f t="shared" si="13"/>
        <v>60000</v>
      </c>
      <c r="I247" s="217">
        <f>Infrastructure!N65</f>
        <v>62880</v>
      </c>
      <c r="J247" s="224">
        <f>Infrastructure!O65</f>
        <v>65646.720000000001</v>
      </c>
      <c r="K247" s="223">
        <f>Infrastructure!P65</f>
        <v>68600.82239999999</v>
      </c>
    </row>
    <row r="248" spans="1:15" ht="16.5" thickBot="1" x14ac:dyDescent="0.3">
      <c r="A248" s="236" t="s">
        <v>1308</v>
      </c>
      <c r="B248" s="224"/>
      <c r="C248" s="250"/>
      <c r="D248" s="224"/>
      <c r="E248" s="223"/>
      <c r="F248" s="223"/>
      <c r="G248" s="217">
        <v>0</v>
      </c>
      <c r="H248" s="223">
        <f t="shared" si="13"/>
        <v>0</v>
      </c>
      <c r="I248" s="217">
        <f>+'Community Services'!M107</f>
        <v>125000</v>
      </c>
      <c r="J248" s="224">
        <f>+'Community Services'!N107</f>
        <v>0</v>
      </c>
      <c r="K248" s="223">
        <f>+'Community Services'!O107</f>
        <v>0</v>
      </c>
    </row>
    <row r="249" spans="1:15" ht="16.5" thickBot="1" x14ac:dyDescent="0.3">
      <c r="A249" s="236" t="s">
        <v>1309</v>
      </c>
      <c r="B249" s="915"/>
      <c r="C249" s="217"/>
      <c r="D249" s="224"/>
      <c r="E249" s="249"/>
      <c r="F249" s="223"/>
      <c r="G249" s="217">
        <v>0</v>
      </c>
      <c r="H249" s="223">
        <f t="shared" si="13"/>
        <v>0</v>
      </c>
      <c r="I249" s="252">
        <f>+LED!L57</f>
        <v>125000</v>
      </c>
      <c r="J249" s="252">
        <f>+LED!M57</f>
        <v>0</v>
      </c>
      <c r="K249" s="252">
        <f>+LED!N57</f>
        <v>0</v>
      </c>
    </row>
    <row r="250" spans="1:15" ht="16.5" thickBot="1" x14ac:dyDescent="0.3">
      <c r="A250" s="218" t="s">
        <v>585</v>
      </c>
      <c r="B250" s="253">
        <f>SUM(B71:B247)</f>
        <v>47131902.608330004</v>
      </c>
      <c r="C250" s="254">
        <f>SUM(C71:C247)</f>
        <v>21329630.165599998</v>
      </c>
      <c r="D250" s="255">
        <f>SUM(D71:D247)</f>
        <v>22621581.133029997</v>
      </c>
      <c r="E250" s="253">
        <f>SUM(E71:E247)</f>
        <v>7832970</v>
      </c>
      <c r="F250" s="253">
        <f>SUM(F71:F249)</f>
        <v>54928373.408330001</v>
      </c>
      <c r="G250" s="253">
        <f t="shared" ref="G250:H250" si="14">SUM(G71:G249)</f>
        <v>10471345</v>
      </c>
      <c r="H250" s="253">
        <f t="shared" si="14"/>
        <v>65399718.408330001</v>
      </c>
      <c r="I250" s="257">
        <f t="shared" ref="I250:K250" si="15">SUM(I71:I249)</f>
        <v>58775139.333395042</v>
      </c>
      <c r="J250" s="256">
        <f t="shared" si="15"/>
        <v>51214399.380212463</v>
      </c>
      <c r="K250" s="256">
        <f t="shared" si="15"/>
        <v>47950793.640495077</v>
      </c>
      <c r="L250" s="204"/>
    </row>
    <row r="251" spans="1:15" x14ac:dyDescent="0.25">
      <c r="A251" s="222"/>
      <c r="B251" s="223"/>
      <c r="C251" s="224"/>
      <c r="D251" s="224"/>
      <c r="E251" s="224"/>
      <c r="F251" s="224"/>
      <c r="G251" s="224"/>
      <c r="H251" s="224"/>
      <c r="I251" s="224"/>
      <c r="J251" s="224"/>
      <c r="K251" s="224"/>
      <c r="L251" s="204"/>
    </row>
    <row r="252" spans="1:15" hidden="1" x14ac:dyDescent="0.25">
      <c r="A252" s="222"/>
      <c r="B252" s="258"/>
      <c r="C252" s="259"/>
      <c r="D252" s="259"/>
      <c r="E252" s="259"/>
      <c r="F252" s="259"/>
      <c r="G252" s="259"/>
      <c r="H252" s="259"/>
      <c r="I252" s="259"/>
      <c r="J252" s="259"/>
      <c r="K252" s="224"/>
      <c r="L252" s="204"/>
    </row>
    <row r="253" spans="1:15" x14ac:dyDescent="0.25">
      <c r="A253" s="222"/>
      <c r="B253" s="233"/>
      <c r="C253" s="234"/>
      <c r="D253" s="234"/>
      <c r="E253" s="234"/>
      <c r="F253" s="234"/>
      <c r="G253" s="234"/>
      <c r="H253" s="234"/>
      <c r="I253" s="234"/>
      <c r="J253" s="234"/>
      <c r="K253" s="234"/>
      <c r="L253" s="204"/>
    </row>
    <row r="254" spans="1:15" x14ac:dyDescent="0.25">
      <c r="A254" s="218" t="s">
        <v>586</v>
      </c>
      <c r="B254" s="228">
        <f t="shared" ref="B254:K254" si="16">B250+B67+B56</f>
        <v>151601868.94532999</v>
      </c>
      <c r="C254" s="228">
        <f t="shared" si="16"/>
        <v>68602990.345599994</v>
      </c>
      <c r="D254" s="228">
        <f t="shared" si="16"/>
        <v>79818187.290030003</v>
      </c>
      <c r="E254" s="228">
        <f t="shared" si="16"/>
        <v>10023795.988905</v>
      </c>
      <c r="F254" s="260">
        <f t="shared" si="16"/>
        <v>161589165.73423502</v>
      </c>
      <c r="G254" s="260">
        <f t="shared" si="16"/>
        <v>11500000</v>
      </c>
      <c r="H254" s="260">
        <f t="shared" si="16"/>
        <v>173089165.73423502</v>
      </c>
      <c r="I254" s="260">
        <f t="shared" si="16"/>
        <v>174492245.16250521</v>
      </c>
      <c r="J254" s="260">
        <f t="shared" si="16"/>
        <v>165635232.86012995</v>
      </c>
      <c r="K254" s="261">
        <f t="shared" si="16"/>
        <v>173488147.64431536</v>
      </c>
      <c r="L254" s="206"/>
      <c r="O254" s="226"/>
    </row>
    <row r="255" spans="1:15" x14ac:dyDescent="0.25">
      <c r="A255" s="222"/>
      <c r="B255" s="258"/>
      <c r="C255" s="259"/>
      <c r="D255" s="259"/>
      <c r="E255" s="259"/>
      <c r="F255" s="259"/>
      <c r="G255" s="259"/>
      <c r="H255" s="259"/>
      <c r="I255" s="259"/>
      <c r="J255" s="259"/>
      <c r="K255" s="224"/>
      <c r="L255" s="204"/>
    </row>
    <row r="256" spans="1:15" hidden="1" x14ac:dyDescent="0.25">
      <c r="A256" s="222"/>
      <c r="B256" s="258"/>
      <c r="C256" s="259"/>
      <c r="D256" s="259"/>
      <c r="E256" s="259"/>
      <c r="F256" s="259"/>
      <c r="G256" s="259"/>
      <c r="H256" s="259"/>
      <c r="I256" s="259"/>
      <c r="J256" s="259"/>
      <c r="K256" s="224"/>
      <c r="L256" s="204"/>
    </row>
    <row r="257" spans="1:12" hidden="1" x14ac:dyDescent="0.25">
      <c r="A257" s="222"/>
      <c r="B257" s="258"/>
      <c r="C257" s="259"/>
      <c r="D257" s="259"/>
      <c r="E257" s="259"/>
      <c r="F257" s="259"/>
      <c r="G257" s="259"/>
      <c r="H257" s="259"/>
      <c r="I257" s="259"/>
      <c r="J257" s="259"/>
      <c r="K257" s="224"/>
      <c r="L257" s="204"/>
    </row>
    <row r="258" spans="1:12" hidden="1" x14ac:dyDescent="0.25">
      <c r="A258" s="222"/>
      <c r="B258" s="258"/>
      <c r="C258" s="259"/>
      <c r="D258" s="259"/>
      <c r="E258" s="259"/>
      <c r="F258" s="259"/>
      <c r="G258" s="259"/>
      <c r="H258" s="259"/>
      <c r="I258" s="259"/>
      <c r="J258" s="259"/>
      <c r="K258" s="224"/>
      <c r="L258" s="204"/>
    </row>
    <row r="259" spans="1:12" x14ac:dyDescent="0.25">
      <c r="A259" s="222"/>
      <c r="B259" s="258"/>
      <c r="C259" s="259"/>
      <c r="D259" s="259"/>
      <c r="E259" s="259"/>
      <c r="F259" s="259"/>
      <c r="G259" s="259"/>
      <c r="H259" s="259"/>
      <c r="I259" s="259"/>
      <c r="J259" s="259"/>
      <c r="K259" s="224"/>
      <c r="L259" s="204"/>
    </row>
    <row r="260" spans="1:12" x14ac:dyDescent="0.25">
      <c r="A260" s="218" t="s">
        <v>1287</v>
      </c>
      <c r="B260" s="228">
        <f t="shared" ref="B260:H260" si="17">SUM(B261:B270)</f>
        <v>3626354.36258</v>
      </c>
      <c r="C260" s="228">
        <f t="shared" si="17"/>
        <v>1434660.46</v>
      </c>
      <c r="D260" s="228">
        <f t="shared" si="17"/>
        <v>1922190.2825799999</v>
      </c>
      <c r="E260" s="228">
        <f t="shared" si="17"/>
        <v>3653661</v>
      </c>
      <c r="F260" s="228">
        <f t="shared" si="17"/>
        <v>7280015.3625799995</v>
      </c>
      <c r="G260" s="228">
        <f t="shared" si="17"/>
        <v>1500000</v>
      </c>
      <c r="H260" s="228">
        <f t="shared" si="17"/>
        <v>8780015.3625799995</v>
      </c>
      <c r="I260" s="228">
        <f>SUM(I261:I271)</f>
        <v>4002000</v>
      </c>
      <c r="J260" s="228">
        <f t="shared" ref="J260:K260" si="18">SUM(J261:J271)</f>
        <v>200000</v>
      </c>
      <c r="K260" s="228">
        <f t="shared" si="18"/>
        <v>200000</v>
      </c>
      <c r="L260" s="204"/>
    </row>
    <row r="261" spans="1:12" x14ac:dyDescent="0.25">
      <c r="A261" s="222" t="s">
        <v>587</v>
      </c>
      <c r="B261" s="223">
        <f>'Community Services'!H115</f>
        <v>354915.36258000002</v>
      </c>
      <c r="C261" s="223">
        <f>'Community Services'!I115</f>
        <v>0</v>
      </c>
      <c r="D261" s="223">
        <f>'Community Services'!J115</f>
        <v>354915.36258000002</v>
      </c>
      <c r="E261" s="223">
        <f>'Community Services'!K115</f>
        <v>0</v>
      </c>
      <c r="F261" s="223">
        <f>'Community Services'!L115</f>
        <v>354915.36258000002</v>
      </c>
      <c r="G261" s="223">
        <v>0</v>
      </c>
      <c r="H261" s="223">
        <f>F261+G261</f>
        <v>354915.36258000002</v>
      </c>
      <c r="I261" s="223">
        <f>'Community Services'!M115</f>
        <v>450000</v>
      </c>
      <c r="J261" s="223">
        <f>'Community Services'!N115</f>
        <v>0</v>
      </c>
      <c r="K261" s="219">
        <f>'Community Services'!O115</f>
        <v>0</v>
      </c>
    </row>
    <row r="262" spans="1:12" x14ac:dyDescent="0.25">
      <c r="A262" s="222" t="s">
        <v>588</v>
      </c>
      <c r="B262" s="223">
        <f>'Office of the MM'!G71+'Corporate Services'!G80+'Community Services'!H112</f>
        <v>271439</v>
      </c>
      <c r="C262" s="223">
        <f>'Office of the MM'!H71+'Corporate Services'!H80+'Community Services'!I112</f>
        <v>472676.95000000007</v>
      </c>
      <c r="D262" s="223">
        <f>'Office of the MM'!I71+'Corporate Services'!I80+'Community Services'!J112</f>
        <v>-199737.95000000007</v>
      </c>
      <c r="E262" s="223">
        <f>'Office of the MM'!J71+'Corporate Services'!J80+'Community Services'!K112</f>
        <v>420674</v>
      </c>
      <c r="F262" s="223">
        <f>'Office of the MM'!K71+'Corporate Services'!K80+'Community Services'!L112</f>
        <v>692113</v>
      </c>
      <c r="G262" s="223">
        <f>Infrastructure!L74</f>
        <v>500000</v>
      </c>
      <c r="H262" s="223">
        <f t="shared" ref="H262:H271" si="19">F262+G262</f>
        <v>1192113</v>
      </c>
      <c r="I262" s="223">
        <f>'Office of the MM'!L71+'Corporate Services'!L80+'Community Services'!M112+'Executive Mayor'!L97+Infrastructure!N78</f>
        <v>830000</v>
      </c>
      <c r="J262" s="223">
        <f>'Office of the MM'!M71+'Corporate Services'!M80+'Community Services'!N112+'Executive Mayor'!M97</f>
        <v>200000</v>
      </c>
      <c r="K262" s="223">
        <f>'Office of the MM'!N71+'Corporate Services'!N80+'Community Services'!O112+'Executive Mayor'!N97</f>
        <v>0</v>
      </c>
    </row>
    <row r="263" spans="1:12" x14ac:dyDescent="0.25">
      <c r="A263" s="222" t="s">
        <v>993</v>
      </c>
      <c r="B263" s="223">
        <f>'Corporate Services'!G82</f>
        <v>1000000</v>
      </c>
      <c r="C263" s="223">
        <f>'Corporate Services'!H82</f>
        <v>708787.13</v>
      </c>
      <c r="D263" s="223">
        <f>'Corporate Services'!I82</f>
        <v>291212.87</v>
      </c>
      <c r="E263" s="223">
        <f>'Corporate Services'!J82</f>
        <v>-291213</v>
      </c>
      <c r="F263" s="223">
        <f>'Corporate Services'!K82</f>
        <v>708787</v>
      </c>
      <c r="G263" s="223">
        <v>0</v>
      </c>
      <c r="H263" s="223">
        <f t="shared" si="19"/>
        <v>708787</v>
      </c>
      <c r="I263" s="223">
        <f>'Corporate Services'!L82</f>
        <v>0</v>
      </c>
      <c r="J263" s="223">
        <f>'Corporate Services'!M82</f>
        <v>0</v>
      </c>
      <c r="K263" s="223">
        <f>'Corporate Services'!N82</f>
        <v>0</v>
      </c>
    </row>
    <row r="264" spans="1:12" x14ac:dyDescent="0.25">
      <c r="A264" s="222" t="s">
        <v>1213</v>
      </c>
      <c r="B264" s="223">
        <v>0</v>
      </c>
      <c r="C264" s="224">
        <v>0</v>
      </c>
      <c r="D264" s="224">
        <v>0</v>
      </c>
      <c r="E264" s="224">
        <v>0</v>
      </c>
      <c r="F264" s="224">
        <v>0</v>
      </c>
      <c r="G264" s="224">
        <v>0</v>
      </c>
      <c r="H264" s="223">
        <f t="shared" si="19"/>
        <v>0</v>
      </c>
      <c r="I264" s="224">
        <f>'Corporate Services'!L81</f>
        <v>500000</v>
      </c>
      <c r="J264" s="224">
        <f>'Corporate Services'!M81</f>
        <v>0</v>
      </c>
      <c r="K264" s="224">
        <f>'Corporate Services'!N81</f>
        <v>0</v>
      </c>
      <c r="L264" s="204"/>
    </row>
    <row r="265" spans="1:12" x14ac:dyDescent="0.25">
      <c r="A265" s="222" t="s">
        <v>989</v>
      </c>
      <c r="B265" s="223">
        <v>0</v>
      </c>
      <c r="C265" s="224">
        <f>'Community Services'!I113</f>
        <v>24200</v>
      </c>
      <c r="D265" s="224">
        <f>'Community Services'!J113</f>
        <v>-24200</v>
      </c>
      <c r="E265" s="224">
        <f>'Community Services'!K113</f>
        <v>24200</v>
      </c>
      <c r="F265" s="224">
        <f>'Community Services'!L113</f>
        <v>24200</v>
      </c>
      <c r="G265" s="224">
        <v>0</v>
      </c>
      <c r="H265" s="223">
        <f t="shared" si="19"/>
        <v>24200</v>
      </c>
      <c r="I265" s="224">
        <f>'Community Services'!M113</f>
        <v>0</v>
      </c>
      <c r="J265" s="224">
        <f>'Community Services'!N113</f>
        <v>0</v>
      </c>
      <c r="K265" s="223">
        <f>'Community Services'!O113</f>
        <v>0</v>
      </c>
    </row>
    <row r="266" spans="1:12" x14ac:dyDescent="0.25">
      <c r="A266" s="222" t="s">
        <v>919</v>
      </c>
      <c r="B266" s="224">
        <f>'Corporate Services'!G83</f>
        <v>0</v>
      </c>
      <c r="C266" s="224">
        <f>'Corporate Services'!H83</f>
        <v>0</v>
      </c>
      <c r="D266" s="224">
        <f>'Corporate Services'!I83</f>
        <v>0</v>
      </c>
      <c r="E266" s="224">
        <f>'Corporate Services'!J83</f>
        <v>3500000</v>
      </c>
      <c r="F266" s="224">
        <f>'Corporate Services'!K83</f>
        <v>3500000</v>
      </c>
      <c r="G266" s="224">
        <f>Infrastructure!L75</f>
        <v>500000</v>
      </c>
      <c r="H266" s="223">
        <f t="shared" si="19"/>
        <v>4000000</v>
      </c>
      <c r="I266" s="224">
        <f>'Corporate Services'!L83</f>
        <v>500000</v>
      </c>
      <c r="J266" s="224">
        <f>'Corporate Services'!M83</f>
        <v>0</v>
      </c>
      <c r="K266" s="223">
        <f>'Corporate Services'!N83</f>
        <v>0</v>
      </c>
    </row>
    <row r="267" spans="1:12" x14ac:dyDescent="0.25">
      <c r="A267" s="222" t="s">
        <v>589</v>
      </c>
      <c r="B267" s="223">
        <f>'Office of the MM'!G70</f>
        <v>500000</v>
      </c>
      <c r="C267" s="223">
        <f>'Office of the MM'!H70</f>
        <v>228996.38</v>
      </c>
      <c r="D267" s="223">
        <f>'Office of the MM'!I70</f>
        <v>0</v>
      </c>
      <c r="E267" s="223">
        <f>'Office of the MM'!J70</f>
        <v>0</v>
      </c>
      <c r="F267" s="223">
        <f>'Office of the MM'!K70</f>
        <v>500000</v>
      </c>
      <c r="G267" s="223">
        <f>Infrastructure!L76</f>
        <v>500000</v>
      </c>
      <c r="H267" s="223">
        <f t="shared" si="19"/>
        <v>1000000</v>
      </c>
      <c r="I267" s="223">
        <f>'Office of the MM'!L70+'Executive Mayor'!L98+Finance!L62+Infrastructure!N76</f>
        <v>960000</v>
      </c>
      <c r="J267" s="223">
        <f>'Office of the MM'!M70+'Executive Mayor'!M98+Finance!M62</f>
        <v>0</v>
      </c>
      <c r="K267" s="223">
        <f>'Office of the MM'!N70+'Executive Mayor'!N98+Finance!N62</f>
        <v>200000</v>
      </c>
    </row>
    <row r="268" spans="1:12" hidden="1" x14ac:dyDescent="0.25">
      <c r="A268" s="222" t="s">
        <v>922</v>
      </c>
      <c r="B268" s="223">
        <v>0</v>
      </c>
      <c r="C268" s="224"/>
      <c r="D268" s="224"/>
      <c r="E268" s="224"/>
      <c r="F268" s="224"/>
      <c r="G268" s="224"/>
      <c r="H268" s="223">
        <f t="shared" si="19"/>
        <v>0</v>
      </c>
      <c r="I268" s="224"/>
      <c r="J268" s="224">
        <v>0</v>
      </c>
      <c r="K268" s="223">
        <v>0</v>
      </c>
    </row>
    <row r="269" spans="1:12" x14ac:dyDescent="0.25">
      <c r="A269" s="222" t="s">
        <v>924</v>
      </c>
      <c r="B269" s="223">
        <f>'Corporate Services'!G85</f>
        <v>1500000</v>
      </c>
      <c r="C269" s="223">
        <f>'Corporate Services'!H85</f>
        <v>0</v>
      </c>
      <c r="D269" s="223">
        <f>'Corporate Services'!I85</f>
        <v>1500000</v>
      </c>
      <c r="E269" s="223">
        <f>'Corporate Services'!J85</f>
        <v>0</v>
      </c>
      <c r="F269" s="223">
        <f>'Corporate Services'!K85</f>
        <v>1500000</v>
      </c>
      <c r="G269" s="223">
        <v>0</v>
      </c>
      <c r="H269" s="223">
        <f t="shared" si="19"/>
        <v>1500000</v>
      </c>
      <c r="I269" s="223">
        <f>'Corporate Services'!L85</f>
        <v>500000</v>
      </c>
      <c r="J269" s="223">
        <f>'Corporate Services'!M85</f>
        <v>0</v>
      </c>
      <c r="K269" s="223">
        <f>'Corporate Services'!N85</f>
        <v>0</v>
      </c>
    </row>
    <row r="270" spans="1:12" x14ac:dyDescent="0.25">
      <c r="A270" s="236" t="s">
        <v>977</v>
      </c>
      <c r="B270" s="223">
        <v>0</v>
      </c>
      <c r="C270" s="224"/>
      <c r="D270" s="224"/>
      <c r="E270" s="224"/>
      <c r="F270" s="224"/>
      <c r="G270" s="224">
        <v>0</v>
      </c>
      <c r="H270" s="223">
        <f t="shared" si="19"/>
        <v>0</v>
      </c>
      <c r="I270" s="224">
        <f>'Executive Mayor'!L99</f>
        <v>0</v>
      </c>
      <c r="J270" s="224">
        <f>'Executive Mayor'!M99</f>
        <v>0</v>
      </c>
      <c r="K270" s="223">
        <f>'Executive Mayor'!N99</f>
        <v>0</v>
      </c>
    </row>
    <row r="271" spans="1:12" x14ac:dyDescent="0.25">
      <c r="A271" s="191" t="s">
        <v>1312</v>
      </c>
      <c r="B271" s="223"/>
      <c r="C271" s="224"/>
      <c r="D271" s="224"/>
      <c r="E271" s="224"/>
      <c r="F271" s="224"/>
      <c r="G271" s="224">
        <v>0</v>
      </c>
      <c r="H271" s="223">
        <f t="shared" si="19"/>
        <v>0</v>
      </c>
      <c r="I271" s="224">
        <f>Infrastructure!N77</f>
        <v>262000</v>
      </c>
      <c r="J271" s="224">
        <f>Infrastructure!O77</f>
        <v>0</v>
      </c>
      <c r="K271" s="224">
        <f>Infrastructure!P77</f>
        <v>0</v>
      </c>
    </row>
    <row r="272" spans="1:12" x14ac:dyDescent="0.25">
      <c r="A272" s="218" t="s">
        <v>590</v>
      </c>
      <c r="B272" s="228">
        <f t="shared" ref="B272:K272" si="20">B56+B67+B250+B260</f>
        <v>155228223.30791</v>
      </c>
      <c r="C272" s="228">
        <f t="shared" si="20"/>
        <v>70037650.805599988</v>
      </c>
      <c r="D272" s="228">
        <f t="shared" si="20"/>
        <v>81740377.572610006</v>
      </c>
      <c r="E272" s="228">
        <f t="shared" si="20"/>
        <v>13677456.988905</v>
      </c>
      <c r="F272" s="260">
        <f t="shared" si="20"/>
        <v>168869181.09681502</v>
      </c>
      <c r="G272" s="260">
        <f t="shared" si="20"/>
        <v>13000000</v>
      </c>
      <c r="H272" s="260">
        <f t="shared" si="20"/>
        <v>181869181.09681502</v>
      </c>
      <c r="I272" s="260">
        <f t="shared" si="20"/>
        <v>178494245.16250521</v>
      </c>
      <c r="J272" s="260">
        <f t="shared" si="20"/>
        <v>165835232.86012992</v>
      </c>
      <c r="K272" s="260">
        <f t="shared" si="20"/>
        <v>173688147.64431536</v>
      </c>
    </row>
    <row r="273" spans="1:11" x14ac:dyDescent="0.25">
      <c r="A273" s="222"/>
      <c r="B273" s="262"/>
      <c r="C273" s="263"/>
      <c r="D273" s="263"/>
      <c r="E273" s="263"/>
      <c r="F273" s="263"/>
      <c r="G273" s="263"/>
      <c r="H273" s="263"/>
      <c r="I273" s="263"/>
      <c r="J273" s="263"/>
      <c r="K273" s="219"/>
    </row>
    <row r="274" spans="1:11" x14ac:dyDescent="0.25">
      <c r="A274" s="218" t="s">
        <v>591</v>
      </c>
      <c r="B274" s="251"/>
      <c r="C274" s="264"/>
      <c r="D274" s="264"/>
      <c r="E274" s="264"/>
      <c r="F274" s="264"/>
      <c r="G274" s="264"/>
      <c r="H274" s="264"/>
      <c r="I274" s="264"/>
      <c r="J274" s="264"/>
      <c r="K274" s="251"/>
    </row>
    <row r="275" spans="1:11" x14ac:dyDescent="0.25">
      <c r="A275" s="222" t="s">
        <v>592</v>
      </c>
      <c r="B275" s="223"/>
      <c r="C275" s="224"/>
      <c r="D275" s="224"/>
      <c r="E275" s="224"/>
      <c r="F275" s="224"/>
      <c r="G275" s="224"/>
      <c r="H275" s="224"/>
      <c r="I275" s="224"/>
      <c r="J275" s="224"/>
      <c r="K275" s="219"/>
    </row>
    <row r="276" spans="1:11" x14ac:dyDescent="0.25">
      <c r="A276" s="222" t="s">
        <v>188</v>
      </c>
      <c r="B276" s="223">
        <v>-197410</v>
      </c>
      <c r="C276" s="224">
        <f>Finance!H69</f>
        <v>-104201.59</v>
      </c>
      <c r="D276" s="224">
        <f>Finance!I69</f>
        <v>-93208.41</v>
      </c>
      <c r="E276" s="224">
        <f>Finance!J69</f>
        <v>-10993</v>
      </c>
      <c r="F276" s="224">
        <f>SUM(B276+E276)</f>
        <v>-208403</v>
      </c>
      <c r="G276" s="224">
        <v>0</v>
      </c>
      <c r="H276" s="224">
        <f>F276+G276</f>
        <v>-208403</v>
      </c>
      <c r="I276" s="224">
        <f>Finance!L69</f>
        <v>-216093</v>
      </c>
      <c r="J276" s="224">
        <f>Finance!M69</f>
        <v>-225601.092</v>
      </c>
      <c r="K276" s="223">
        <f>Finance!N69</f>
        <v>-235753.14113999999</v>
      </c>
    </row>
    <row r="277" spans="1:11" x14ac:dyDescent="0.25">
      <c r="A277" s="222" t="s">
        <v>190</v>
      </c>
      <c r="B277" s="223">
        <v>-1221094.8999999999</v>
      </c>
      <c r="C277" s="224">
        <f>Finance!H70</f>
        <v>-884230.46</v>
      </c>
      <c r="D277" s="224">
        <f>Finance!I70</f>
        <v>-336864.43999999994</v>
      </c>
      <c r="E277" s="224">
        <f>Finance!J70</f>
        <v>-547365.88</v>
      </c>
      <c r="F277" s="224">
        <f>Finance!K70</f>
        <v>-1768460.7799999998</v>
      </c>
      <c r="G277" s="224">
        <v>0</v>
      </c>
      <c r="H277" s="224">
        <f>F277+G277</f>
        <v>-1768460.7799999998</v>
      </c>
      <c r="I277" s="224">
        <f>Finance!L70</f>
        <v>-1833712</v>
      </c>
      <c r="J277" s="224">
        <f>Finance!M70</f>
        <v>-1914395.328</v>
      </c>
      <c r="K277" s="251">
        <f>Finance!N70</f>
        <v>-2000543.1177599998</v>
      </c>
    </row>
    <row r="278" spans="1:11" x14ac:dyDescent="0.25">
      <c r="A278" s="218" t="s">
        <v>593</v>
      </c>
      <c r="B278" s="228">
        <f t="shared" ref="B278:K278" si="21">SUM(B276:B277)</f>
        <v>-1418504.9</v>
      </c>
      <c r="C278" s="228">
        <f t="shared" si="21"/>
        <v>-988432.04999999993</v>
      </c>
      <c r="D278" s="228">
        <f t="shared" si="21"/>
        <v>-430072.85</v>
      </c>
      <c r="E278" s="228">
        <f t="shared" si="21"/>
        <v>-558358.88</v>
      </c>
      <c r="F278" s="228">
        <f t="shared" si="21"/>
        <v>-1976863.7799999998</v>
      </c>
      <c r="G278" s="228">
        <f t="shared" si="21"/>
        <v>0</v>
      </c>
      <c r="H278" s="228">
        <f t="shared" si="21"/>
        <v>-1976863.7799999998</v>
      </c>
      <c r="I278" s="228">
        <f t="shared" si="21"/>
        <v>-2049805</v>
      </c>
      <c r="J278" s="228">
        <f t="shared" si="21"/>
        <v>-2139996.42</v>
      </c>
      <c r="K278" s="228">
        <f t="shared" si="21"/>
        <v>-2236296.2588999998</v>
      </c>
    </row>
    <row r="279" spans="1:11" x14ac:dyDescent="0.25">
      <c r="A279" s="222"/>
      <c r="B279" s="224"/>
      <c r="C279" s="224"/>
      <c r="D279" s="224"/>
      <c r="E279" s="224"/>
      <c r="F279" s="224"/>
      <c r="G279" s="224"/>
      <c r="H279" s="224"/>
      <c r="I279" s="224"/>
      <c r="J279" s="224"/>
      <c r="K279" s="219"/>
    </row>
    <row r="280" spans="1:11" x14ac:dyDescent="0.25">
      <c r="A280" s="218" t="s">
        <v>594</v>
      </c>
      <c r="B280" s="224"/>
      <c r="C280" s="224"/>
      <c r="D280" s="224"/>
      <c r="E280" s="224"/>
      <c r="F280" s="224"/>
      <c r="G280" s="224"/>
      <c r="H280" s="224"/>
      <c r="I280" s="224"/>
      <c r="J280" s="224"/>
      <c r="K280" s="223"/>
    </row>
    <row r="281" spans="1:11" hidden="1" x14ac:dyDescent="0.25">
      <c r="A281" s="222" t="s">
        <v>595</v>
      </c>
      <c r="B281" s="220"/>
      <c r="C281" s="220"/>
      <c r="D281" s="220"/>
      <c r="E281" s="220"/>
      <c r="F281" s="220"/>
      <c r="G281" s="220"/>
      <c r="H281" s="220"/>
      <c r="I281" s="220"/>
      <c r="J281" s="220"/>
      <c r="K281" s="219"/>
    </row>
    <row r="282" spans="1:11" x14ac:dyDescent="0.25">
      <c r="A282" s="222" t="s">
        <v>194</v>
      </c>
      <c r="B282" s="224">
        <v>-126106000</v>
      </c>
      <c r="C282" s="224">
        <f>Finance!H72</f>
        <v>-93669000</v>
      </c>
      <c r="D282" s="224">
        <f>Finance!I72</f>
        <v>-32437000</v>
      </c>
      <c r="E282" s="224">
        <v>0</v>
      </c>
      <c r="F282" s="224">
        <f>B282+E282</f>
        <v>-126106000</v>
      </c>
      <c r="G282" s="224">
        <v>0</v>
      </c>
      <c r="H282" s="224">
        <f>F282+G282</f>
        <v>-126106000</v>
      </c>
      <c r="I282" s="224">
        <f>Finance!L72</f>
        <v>-130459000</v>
      </c>
      <c r="J282" s="224">
        <f>Finance!M72</f>
        <v>-135676000</v>
      </c>
      <c r="K282" s="223">
        <f>Finance!N72</f>
        <v>-141290000</v>
      </c>
    </row>
    <row r="283" spans="1:11" x14ac:dyDescent="0.25">
      <c r="A283" s="222" t="s">
        <v>596</v>
      </c>
      <c r="B283" s="224">
        <v>-2300000</v>
      </c>
      <c r="C283" s="224">
        <f>Finance!H71</f>
        <v>-2300000</v>
      </c>
      <c r="D283" s="224">
        <f>Finance!I71</f>
        <v>0</v>
      </c>
      <c r="E283" s="224">
        <f>Finance!J71</f>
        <v>0</v>
      </c>
      <c r="F283" s="224">
        <f>Finance!K71</f>
        <v>-2300000</v>
      </c>
      <c r="G283" s="224">
        <v>0</v>
      </c>
      <c r="H283" s="224">
        <f t="shared" ref="H283:H290" si="22">F283+G283</f>
        <v>-2300000</v>
      </c>
      <c r="I283" s="224">
        <f>Finance!L71</f>
        <v>-2300000</v>
      </c>
      <c r="J283" s="224">
        <f>Finance!M71</f>
        <v>-2300000</v>
      </c>
      <c r="K283" s="223">
        <f>Finance!N71</f>
        <v>-2300000</v>
      </c>
    </row>
    <row r="284" spans="1:11" x14ac:dyDescent="0.25">
      <c r="A284" s="222" t="s">
        <v>964</v>
      </c>
      <c r="B284" s="224">
        <v>-5548000</v>
      </c>
      <c r="C284" s="224">
        <f>Infrastructure!H86</f>
        <v>-3883000</v>
      </c>
      <c r="D284" s="224">
        <f>Infrastructure!I86</f>
        <v>-1665000</v>
      </c>
      <c r="E284" s="224">
        <f>Infrastructure!J86</f>
        <v>0</v>
      </c>
      <c r="F284" s="224">
        <f>Infrastructure!K86</f>
        <v>-5548000</v>
      </c>
      <c r="G284" s="224">
        <v>0</v>
      </c>
      <c r="H284" s="224">
        <f t="shared" si="22"/>
        <v>-5548000</v>
      </c>
      <c r="I284" s="224">
        <f>Infrastructure!N86</f>
        <v>-5356000</v>
      </c>
      <c r="J284" s="224">
        <f>Infrastructure!O86</f>
        <v>0</v>
      </c>
      <c r="K284" s="223">
        <f>Infrastructure!P86</f>
        <v>0</v>
      </c>
    </row>
    <row r="285" spans="1:11" x14ac:dyDescent="0.25">
      <c r="A285" s="222" t="s">
        <v>1288</v>
      </c>
      <c r="B285" s="224">
        <v>-4000000</v>
      </c>
      <c r="C285" s="224">
        <f>Infrastructure!H85</f>
        <v>-4000000</v>
      </c>
      <c r="D285" s="224">
        <f>Infrastructure!I85</f>
        <v>0</v>
      </c>
      <c r="E285" s="224">
        <f>Infrastructure!J85</f>
        <v>0</v>
      </c>
      <c r="F285" s="224">
        <f>Infrastructure!K85</f>
        <v>-4000000</v>
      </c>
      <c r="G285" s="224">
        <f>Infrastructure!L85</f>
        <v>-8000000</v>
      </c>
      <c r="H285" s="224">
        <f t="shared" si="22"/>
        <v>-12000000</v>
      </c>
      <c r="I285" s="224">
        <f>Infrastructure!N85</f>
        <v>-5000000</v>
      </c>
      <c r="J285" s="224">
        <f>Infrastructure!O85</f>
        <v>-4000000</v>
      </c>
      <c r="K285" s="223">
        <f>Infrastructure!P85</f>
        <v>0</v>
      </c>
    </row>
    <row r="286" spans="1:11" x14ac:dyDescent="0.25">
      <c r="A286" s="222" t="s">
        <v>1289</v>
      </c>
      <c r="B286" s="224">
        <v>-2458000</v>
      </c>
      <c r="C286" s="224">
        <f>Infrastructure!H87</f>
        <v>-1721000</v>
      </c>
      <c r="D286" s="224">
        <f>Infrastructure!I87</f>
        <v>-737000</v>
      </c>
      <c r="E286" s="224">
        <f>Infrastructure!J87</f>
        <v>0</v>
      </c>
      <c r="F286" s="224">
        <f>Infrastructure!K87</f>
        <v>-2458000</v>
      </c>
      <c r="G286" s="224">
        <v>0</v>
      </c>
      <c r="H286" s="224">
        <f t="shared" si="22"/>
        <v>-2458000</v>
      </c>
      <c r="I286" s="224">
        <f>Infrastructure!N87</f>
        <v>-2573000</v>
      </c>
      <c r="J286" s="224">
        <f>Infrastructure!O87</f>
        <v>-2583000</v>
      </c>
      <c r="K286" s="223">
        <f>Infrastructure!P87</f>
        <v>-2677000</v>
      </c>
    </row>
    <row r="287" spans="1:11" hidden="1" x14ac:dyDescent="0.25">
      <c r="A287" s="222" t="s">
        <v>597</v>
      </c>
      <c r="B287" s="224">
        <v>0</v>
      </c>
      <c r="C287" s="224"/>
      <c r="D287" s="224"/>
      <c r="E287" s="224"/>
      <c r="F287" s="224">
        <f t="shared" ref="F287:F290" si="23">SUM(B287+E287)</f>
        <v>0</v>
      </c>
      <c r="G287" s="224"/>
      <c r="H287" s="224">
        <f t="shared" si="22"/>
        <v>0</v>
      </c>
      <c r="I287" s="224"/>
      <c r="J287" s="224">
        <v>0</v>
      </c>
      <c r="K287" s="223">
        <v>0</v>
      </c>
    </row>
    <row r="288" spans="1:11" x14ac:dyDescent="0.25">
      <c r="A288" s="222" t="s">
        <v>965</v>
      </c>
      <c r="B288" s="224">
        <v>-4260000</v>
      </c>
      <c r="C288" s="224">
        <f>'Office of the MM'!H78</f>
        <v>0</v>
      </c>
      <c r="D288" s="224">
        <f>'Office of the MM'!I78</f>
        <v>-4260000</v>
      </c>
      <c r="E288" s="224">
        <f>'Office of the MM'!J78</f>
        <v>0</v>
      </c>
      <c r="F288" s="224">
        <f>'Office of the MM'!K78</f>
        <v>-4260000</v>
      </c>
      <c r="G288" s="224">
        <v>0</v>
      </c>
      <c r="H288" s="224">
        <f t="shared" si="22"/>
        <v>-4260000</v>
      </c>
      <c r="I288" s="224">
        <f>'Office of the MM'!L78</f>
        <v>-4216000</v>
      </c>
      <c r="J288" s="224">
        <f>'Office of the MM'!M78</f>
        <v>-3600000</v>
      </c>
      <c r="K288" s="223">
        <f>'Office of the MM'!N78</f>
        <v>-3600000</v>
      </c>
    </row>
    <row r="289" spans="1:11" x14ac:dyDescent="0.25">
      <c r="A289" s="222" t="s">
        <v>1321</v>
      </c>
      <c r="B289" s="224"/>
      <c r="C289" s="224"/>
      <c r="D289" s="224"/>
      <c r="E289" s="224"/>
      <c r="F289" s="224"/>
      <c r="G289" s="224">
        <f>Infrastructure!L88</f>
        <v>-5000000</v>
      </c>
      <c r="H289" s="224">
        <f t="shared" si="22"/>
        <v>-5000000</v>
      </c>
      <c r="I289" s="224"/>
      <c r="J289" s="224"/>
      <c r="K289" s="223"/>
    </row>
    <row r="290" spans="1:11" hidden="1" x14ac:dyDescent="0.25">
      <c r="A290" s="222" t="s">
        <v>311</v>
      </c>
      <c r="B290" s="224">
        <f>Infrastructure!G84</f>
        <v>0</v>
      </c>
      <c r="C290" s="224"/>
      <c r="D290" s="224"/>
      <c r="E290" s="224"/>
      <c r="F290" s="224">
        <f t="shared" si="23"/>
        <v>0</v>
      </c>
      <c r="G290" s="224"/>
      <c r="H290" s="224">
        <f t="shared" si="22"/>
        <v>0</v>
      </c>
      <c r="I290" s="224"/>
      <c r="J290" s="224"/>
      <c r="K290" s="223"/>
    </row>
    <row r="291" spans="1:11" x14ac:dyDescent="0.25">
      <c r="A291" s="218" t="s">
        <v>598</v>
      </c>
      <c r="B291" s="228">
        <f t="shared" ref="B291:K291" si="24">SUM(B281:B290)</f>
        <v>-144672000</v>
      </c>
      <c r="C291" s="228">
        <f t="shared" si="24"/>
        <v>-105573000</v>
      </c>
      <c r="D291" s="228">
        <f t="shared" si="24"/>
        <v>-39099000</v>
      </c>
      <c r="E291" s="228">
        <f t="shared" si="24"/>
        <v>0</v>
      </c>
      <c r="F291" s="228">
        <f t="shared" si="24"/>
        <v>-144672000</v>
      </c>
      <c r="G291" s="228">
        <f t="shared" si="24"/>
        <v>-13000000</v>
      </c>
      <c r="H291" s="228">
        <f t="shared" si="24"/>
        <v>-157672000</v>
      </c>
      <c r="I291" s="228">
        <f>SUM(I281:I290)</f>
        <v>-149904000</v>
      </c>
      <c r="J291" s="228">
        <f t="shared" si="24"/>
        <v>-148159000</v>
      </c>
      <c r="K291" s="228">
        <f t="shared" si="24"/>
        <v>-149867000</v>
      </c>
    </row>
    <row r="292" spans="1:11" x14ac:dyDescent="0.25">
      <c r="A292" s="222"/>
      <c r="B292" s="223"/>
      <c r="C292" s="224"/>
      <c r="D292" s="224"/>
      <c r="E292" s="224"/>
      <c r="F292" s="224"/>
      <c r="G292" s="224"/>
      <c r="H292" s="224"/>
      <c r="I292" s="224"/>
      <c r="J292" s="224"/>
      <c r="K292" s="223"/>
    </row>
    <row r="293" spans="1:11" hidden="1" x14ac:dyDescent="0.25">
      <c r="A293" s="222" t="s">
        <v>599</v>
      </c>
      <c r="B293" s="223"/>
      <c r="C293" s="224"/>
      <c r="D293" s="224"/>
      <c r="E293" s="224"/>
      <c r="F293" s="224"/>
      <c r="G293" s="224"/>
      <c r="H293" s="224"/>
      <c r="I293" s="224"/>
      <c r="J293" s="224"/>
      <c r="K293" s="223"/>
    </row>
    <row r="294" spans="1:11" hidden="1" x14ac:dyDescent="0.25">
      <c r="A294" s="222" t="s">
        <v>600</v>
      </c>
      <c r="B294" s="219">
        <v>0</v>
      </c>
      <c r="C294" s="220"/>
      <c r="D294" s="220"/>
      <c r="E294" s="220"/>
      <c r="F294" s="220"/>
      <c r="G294" s="220"/>
      <c r="H294" s="220"/>
      <c r="I294" s="220"/>
      <c r="J294" s="220">
        <v>0</v>
      </c>
      <c r="K294" s="219">
        <v>0</v>
      </c>
    </row>
    <row r="295" spans="1:11" hidden="1" x14ac:dyDescent="0.25">
      <c r="A295" s="222"/>
      <c r="B295" s="223">
        <v>0</v>
      </c>
      <c r="C295" s="224"/>
      <c r="D295" s="224"/>
      <c r="E295" s="224"/>
      <c r="F295" s="224"/>
      <c r="G295" s="224"/>
      <c r="H295" s="224"/>
      <c r="I295" s="224"/>
      <c r="J295" s="224">
        <v>0</v>
      </c>
      <c r="K295" s="223">
        <v>0</v>
      </c>
    </row>
    <row r="296" spans="1:11" x14ac:dyDescent="0.25">
      <c r="A296" s="218" t="s">
        <v>1290</v>
      </c>
      <c r="B296" s="233"/>
      <c r="C296" s="233"/>
      <c r="D296" s="233"/>
      <c r="E296" s="234"/>
      <c r="F296" s="234"/>
      <c r="G296" s="234"/>
      <c r="H296" s="234"/>
      <c r="I296" s="233"/>
      <c r="J296" s="233"/>
      <c r="K296" s="233"/>
    </row>
    <row r="297" spans="1:11" x14ac:dyDescent="0.25">
      <c r="A297" s="222" t="s">
        <v>186</v>
      </c>
      <c r="B297" s="224">
        <v>-3000</v>
      </c>
      <c r="C297" s="223">
        <f>Finance!H68</f>
        <v>-5600</v>
      </c>
      <c r="D297" s="223">
        <f>Finance!I68</f>
        <v>2600</v>
      </c>
      <c r="E297" s="223">
        <f>Finance!J68</f>
        <v>0</v>
      </c>
      <c r="F297" s="219">
        <f>Finance!K68</f>
        <v>-3000</v>
      </c>
      <c r="G297" s="223">
        <v>0</v>
      </c>
      <c r="H297" s="223">
        <f>F297+G297</f>
        <v>-3000</v>
      </c>
      <c r="I297" s="223">
        <f>Finance!L68</f>
        <v>-6500</v>
      </c>
      <c r="J297" s="223">
        <f>Finance!M68</f>
        <v>-6786</v>
      </c>
      <c r="K297" s="223">
        <f>Finance!N68</f>
        <v>-7091.37</v>
      </c>
    </row>
    <row r="298" spans="1:11" x14ac:dyDescent="0.25">
      <c r="A298" s="222" t="s">
        <v>1299</v>
      </c>
      <c r="B298" s="224">
        <v>-3064160.45</v>
      </c>
      <c r="C298" s="223">
        <v>0</v>
      </c>
      <c r="D298" s="217">
        <v>0</v>
      </c>
      <c r="E298" s="223">
        <f>-868787-59</f>
        <v>-868846</v>
      </c>
      <c r="F298" s="223">
        <f>B298+E298</f>
        <v>-3933006.45</v>
      </c>
      <c r="G298" s="223">
        <v>0</v>
      </c>
      <c r="H298" s="223">
        <f t="shared" ref="H298:H306" si="25">F298+G298</f>
        <v>-3933006.45</v>
      </c>
      <c r="I298" s="223">
        <f>I67*-1</f>
        <v>-4121791.7593920003</v>
      </c>
      <c r="J298" s="223">
        <f>J67*-1</f>
        <v>-4303150.5968052484</v>
      </c>
      <c r="K298" s="223">
        <f>K67*-1</f>
        <v>-4496792.3736614846</v>
      </c>
    </row>
    <row r="299" spans="1:11" x14ac:dyDescent="0.25">
      <c r="A299" s="222" t="s">
        <v>1293</v>
      </c>
      <c r="B299" s="224">
        <v>0</v>
      </c>
      <c r="C299" s="223">
        <v>0</v>
      </c>
      <c r="D299" s="217">
        <v>0</v>
      </c>
      <c r="E299" s="223">
        <v>0</v>
      </c>
      <c r="F299" s="223">
        <f t="shared" ref="F299:F306" si="26">SUM(B299+E299)</f>
        <v>0</v>
      </c>
      <c r="G299" s="223">
        <v>0</v>
      </c>
      <c r="H299" s="223">
        <f t="shared" si="25"/>
        <v>0</v>
      </c>
      <c r="I299" s="223">
        <f>Infrastructure!N92</f>
        <v>-750000</v>
      </c>
      <c r="J299" s="223">
        <f>Infrastructure!O92</f>
        <v>-2000000</v>
      </c>
      <c r="K299" s="223">
        <f>Infrastructure!P92</f>
        <v>-3000000</v>
      </c>
    </row>
    <row r="300" spans="1:11" x14ac:dyDescent="0.25">
      <c r="A300" s="222" t="s">
        <v>1304</v>
      </c>
      <c r="B300" s="224"/>
      <c r="C300" s="223"/>
      <c r="D300" s="217"/>
      <c r="E300" s="223"/>
      <c r="F300" s="223"/>
      <c r="G300" s="223">
        <v>0</v>
      </c>
      <c r="H300" s="223">
        <f t="shared" si="25"/>
        <v>0</v>
      </c>
      <c r="I300" s="223">
        <f>Infrastructure!N93</f>
        <v>-5000000</v>
      </c>
      <c r="J300" s="223">
        <f>Infrastructure!O93</f>
        <v>0</v>
      </c>
      <c r="K300" s="223">
        <f>Infrastructure!P93</f>
        <v>0</v>
      </c>
    </row>
    <row r="301" spans="1:11" x14ac:dyDescent="0.25">
      <c r="A301" s="222" t="s">
        <v>629</v>
      </c>
      <c r="B301" s="224">
        <f>'Corporate Services'!G93</f>
        <v>-5073843</v>
      </c>
      <c r="C301" s="223">
        <v>0</v>
      </c>
      <c r="D301" s="217">
        <v>0</v>
      </c>
      <c r="E301" s="223">
        <v>0</v>
      </c>
      <c r="F301" s="223">
        <f t="shared" si="26"/>
        <v>-5073843</v>
      </c>
      <c r="G301" s="223">
        <v>0</v>
      </c>
      <c r="H301" s="223">
        <f t="shared" si="25"/>
        <v>-5073843</v>
      </c>
      <c r="I301" s="223">
        <f>'Corporate Services'!L93</f>
        <v>-5521365.9919999996</v>
      </c>
      <c r="J301" s="223">
        <f>'Corporate Services'!M93</f>
        <v>-5764306.095648</v>
      </c>
      <c r="K301" s="225">
        <f>'Corporate Services'!N93</f>
        <v>-6023699.8699521599</v>
      </c>
    </row>
    <row r="302" spans="1:11" hidden="1" x14ac:dyDescent="0.25">
      <c r="A302" s="222" t="s">
        <v>922</v>
      </c>
      <c r="B302" s="224">
        <f>'Corporate Services'!G94</f>
        <v>0</v>
      </c>
      <c r="C302" s="223">
        <v>0</v>
      </c>
      <c r="D302" s="217">
        <v>0</v>
      </c>
      <c r="E302" s="223">
        <v>0</v>
      </c>
      <c r="F302" s="223">
        <f t="shared" si="26"/>
        <v>0</v>
      </c>
      <c r="G302" s="223">
        <v>0</v>
      </c>
      <c r="H302" s="223">
        <f t="shared" si="25"/>
        <v>0</v>
      </c>
      <c r="I302" s="223">
        <v>0</v>
      </c>
      <c r="J302" s="223">
        <v>0</v>
      </c>
      <c r="K302" s="225">
        <v>0</v>
      </c>
    </row>
    <row r="303" spans="1:11" x14ac:dyDescent="0.25">
      <c r="A303" s="222" t="s">
        <v>1025</v>
      </c>
      <c r="B303" s="224">
        <v>0</v>
      </c>
      <c r="C303" s="223">
        <v>0</v>
      </c>
      <c r="D303" s="217">
        <v>0</v>
      </c>
      <c r="E303" s="223">
        <v>-3500000</v>
      </c>
      <c r="F303" s="223">
        <f t="shared" si="26"/>
        <v>-3500000</v>
      </c>
      <c r="G303" s="223">
        <v>0</v>
      </c>
      <c r="H303" s="223">
        <f t="shared" si="25"/>
        <v>-3500000</v>
      </c>
      <c r="I303" s="223">
        <f>-I260</f>
        <v>-4002000</v>
      </c>
      <c r="J303" s="223">
        <f>-J260</f>
        <v>-200000</v>
      </c>
      <c r="K303" s="223">
        <f>-K260</f>
        <v>-200000</v>
      </c>
    </row>
    <row r="304" spans="1:11" x14ac:dyDescent="0.25">
      <c r="A304" s="222" t="s">
        <v>1291</v>
      </c>
      <c r="B304" s="223">
        <v>0</v>
      </c>
      <c r="C304" s="223">
        <v>0</v>
      </c>
      <c r="D304" s="217">
        <v>0</v>
      </c>
      <c r="E304" s="223">
        <f>-7239465+330646-413442+122016</f>
        <v>-7200245</v>
      </c>
      <c r="F304" s="223">
        <f t="shared" si="26"/>
        <v>-7200245</v>
      </c>
      <c r="G304" s="223">
        <v>0</v>
      </c>
      <c r="H304" s="223">
        <f t="shared" si="25"/>
        <v>-7200245</v>
      </c>
      <c r="I304" s="223">
        <v>-6987298</v>
      </c>
      <c r="J304" s="223">
        <v>-3261993.7</v>
      </c>
      <c r="K304" s="225">
        <v>-7857267.7699999996</v>
      </c>
    </row>
    <row r="305" spans="1:103" x14ac:dyDescent="0.25">
      <c r="A305" s="222" t="s">
        <v>931</v>
      </c>
      <c r="B305" s="223">
        <v>-996714.75</v>
      </c>
      <c r="C305" s="223">
        <v>-2340433.89</v>
      </c>
      <c r="D305" s="223">
        <f>'Corporate Services'!I95</f>
        <v>0</v>
      </c>
      <c r="E305" s="223">
        <f>'Corporate Services'!J95</f>
        <v>-1577762.27</v>
      </c>
      <c r="F305" s="223">
        <f>SUM(B305+E305)</f>
        <v>-2574477.02</v>
      </c>
      <c r="G305" s="223">
        <v>0</v>
      </c>
      <c r="H305" s="223">
        <f t="shared" si="25"/>
        <v>-2574477.02</v>
      </c>
      <c r="I305" s="265">
        <v>-151484.37</v>
      </c>
      <c r="J305" s="223">
        <v>0</v>
      </c>
      <c r="K305" s="225">
        <v>0</v>
      </c>
      <c r="L305" s="207"/>
    </row>
    <row r="306" spans="1:103" x14ac:dyDescent="0.25">
      <c r="A306" s="222"/>
      <c r="B306" s="251"/>
      <c r="C306" s="251"/>
      <c r="D306" s="266"/>
      <c r="E306" s="251"/>
      <c r="F306" s="251">
        <f t="shared" si="26"/>
        <v>0</v>
      </c>
      <c r="G306" s="223">
        <v>0</v>
      </c>
      <c r="H306" s="223">
        <f t="shared" si="25"/>
        <v>0</v>
      </c>
      <c r="I306" s="251"/>
      <c r="J306" s="251">
        <v>0</v>
      </c>
      <c r="K306" s="267">
        <v>0</v>
      </c>
      <c r="L306" s="207"/>
    </row>
    <row r="307" spans="1:103" x14ac:dyDescent="0.25">
      <c r="A307" s="218" t="s">
        <v>603</v>
      </c>
      <c r="B307" s="268">
        <f t="shared" ref="B307:K307" si="27">SUM(B297:B305)</f>
        <v>-9137718.1999999993</v>
      </c>
      <c r="C307" s="268">
        <f t="shared" si="27"/>
        <v>-2346033.89</v>
      </c>
      <c r="D307" s="268">
        <f t="shared" si="27"/>
        <v>2600</v>
      </c>
      <c r="E307" s="268">
        <f t="shared" si="27"/>
        <v>-13146853.27</v>
      </c>
      <c r="F307" s="228">
        <f t="shared" si="27"/>
        <v>-22284571.469999999</v>
      </c>
      <c r="G307" s="228">
        <f t="shared" si="27"/>
        <v>0</v>
      </c>
      <c r="H307" s="228">
        <f t="shared" si="27"/>
        <v>-22284571.469999999</v>
      </c>
      <c r="I307" s="268">
        <f t="shared" si="27"/>
        <v>-26540440.121392</v>
      </c>
      <c r="J307" s="268">
        <f t="shared" si="27"/>
        <v>-15536236.39245325</v>
      </c>
      <c r="K307" s="268">
        <f t="shared" si="27"/>
        <v>-21584851.383613646</v>
      </c>
    </row>
    <row r="308" spans="1:103" x14ac:dyDescent="0.25">
      <c r="A308" s="222"/>
      <c r="B308" s="223"/>
      <c r="C308" s="224"/>
      <c r="D308" s="224"/>
      <c r="E308" s="224"/>
      <c r="F308" s="224"/>
      <c r="G308" s="224"/>
      <c r="H308" s="224"/>
      <c r="I308" s="224"/>
      <c r="J308" s="224"/>
      <c r="K308" s="223"/>
    </row>
    <row r="309" spans="1:103" x14ac:dyDescent="0.25">
      <c r="A309" s="218" t="s">
        <v>604</v>
      </c>
      <c r="B309" s="228">
        <f>SUM(B278+B291+B307)</f>
        <v>-155228223.09999999</v>
      </c>
      <c r="C309" s="228">
        <f t="shared" ref="C309:J309" si="28">SUM(C278+C291+C307)</f>
        <v>-108907465.94</v>
      </c>
      <c r="D309" s="228">
        <f t="shared" si="28"/>
        <v>-39526472.850000001</v>
      </c>
      <c r="E309" s="228">
        <f t="shared" si="28"/>
        <v>-13705212.15</v>
      </c>
      <c r="F309" s="260">
        <f t="shared" si="28"/>
        <v>-168933435.25</v>
      </c>
      <c r="G309" s="260">
        <f t="shared" si="28"/>
        <v>-13000000</v>
      </c>
      <c r="H309" s="260">
        <f t="shared" si="28"/>
        <v>-181933435.25</v>
      </c>
      <c r="I309" s="260">
        <f>SUM(I278+I291+I307)</f>
        <v>-178494245.12139201</v>
      </c>
      <c r="J309" s="260">
        <f t="shared" si="28"/>
        <v>-165835232.81245324</v>
      </c>
      <c r="K309" s="260">
        <f>SUM(K278+K291+K307)</f>
        <v>-173688147.64251363</v>
      </c>
    </row>
    <row r="310" spans="1:103" ht="16.5" thickBot="1" x14ac:dyDescent="0.3">
      <c r="A310" s="222"/>
      <c r="B310" s="225"/>
      <c r="C310" s="217"/>
      <c r="D310" s="217"/>
      <c r="E310" s="217"/>
      <c r="F310" s="217"/>
      <c r="G310" s="217"/>
      <c r="H310" s="217"/>
      <c r="I310" s="217"/>
      <c r="J310" s="224"/>
      <c r="K310" s="223"/>
    </row>
    <row r="311" spans="1:103" ht="16.5" thickBot="1" x14ac:dyDescent="0.3">
      <c r="A311" s="218" t="s">
        <v>605</v>
      </c>
      <c r="B311" s="269">
        <f t="shared" ref="B311:K311" si="29">(B309+B272)-0</f>
        <v>0.20791000127792358</v>
      </c>
      <c r="C311" s="269">
        <f t="shared" si="29"/>
        <v>-38869815.13440001</v>
      </c>
      <c r="D311" s="269">
        <f t="shared" si="29"/>
        <v>42213904.722610004</v>
      </c>
      <c r="E311" s="269">
        <f t="shared" si="29"/>
        <v>-27755.161095000803</v>
      </c>
      <c r="F311" s="269">
        <f t="shared" si="29"/>
        <v>-64254.153184980154</v>
      </c>
      <c r="G311" s="269">
        <f t="shared" si="29"/>
        <v>0</v>
      </c>
      <c r="H311" s="269">
        <f t="shared" si="29"/>
        <v>-64254.153184980154</v>
      </c>
      <c r="I311" s="269">
        <f t="shared" si="29"/>
        <v>4.1113197803497314E-2</v>
      </c>
      <c r="J311" s="269">
        <f t="shared" si="29"/>
        <v>4.7676682472229004E-2</v>
      </c>
      <c r="K311" s="269">
        <f t="shared" si="29"/>
        <v>1.8017292022705078E-3</v>
      </c>
    </row>
    <row r="313" spans="1:103" x14ac:dyDescent="0.25">
      <c r="I313" s="270"/>
    </row>
    <row r="314" spans="1:103" x14ac:dyDescent="0.25">
      <c r="I314" s="270"/>
    </row>
    <row r="315" spans="1:103" s="273" customFormat="1" x14ac:dyDescent="0.25">
      <c r="A315" s="271"/>
      <c r="B315" s="216"/>
      <c r="C315" s="216"/>
      <c r="D315" s="216"/>
      <c r="E315" s="216"/>
      <c r="F315" s="216"/>
      <c r="G315" s="216"/>
      <c r="H315" s="216"/>
      <c r="I315" s="217"/>
      <c r="J315" s="216"/>
      <c r="K315" s="216"/>
      <c r="L315" s="208"/>
      <c r="M315" s="272"/>
      <c r="N315" s="208"/>
      <c r="O315" s="272"/>
      <c r="P315" s="272"/>
      <c r="Q315" s="272"/>
      <c r="R315" s="272"/>
      <c r="S315" s="272"/>
      <c r="T315" s="272"/>
      <c r="U315" s="272"/>
      <c r="V315" s="272"/>
      <c r="W315" s="272"/>
      <c r="X315" s="272"/>
      <c r="Y315" s="272"/>
      <c r="Z315" s="272"/>
      <c r="AA315" s="272"/>
      <c r="AB315" s="272"/>
      <c r="AC315" s="272"/>
      <c r="AD315" s="272"/>
      <c r="AE315" s="272"/>
      <c r="AF315" s="272"/>
      <c r="AG315" s="272"/>
      <c r="AH315" s="272"/>
      <c r="AI315" s="272"/>
      <c r="AJ315" s="272"/>
      <c r="AK315" s="272"/>
      <c r="AL315" s="272"/>
      <c r="AM315" s="272"/>
      <c r="AN315" s="272"/>
      <c r="AO315" s="272"/>
      <c r="AP315" s="272"/>
      <c r="AQ315" s="272"/>
      <c r="AR315" s="272"/>
      <c r="AS315" s="272"/>
      <c r="AT315" s="272"/>
      <c r="AU315" s="272"/>
      <c r="AV315" s="272"/>
      <c r="AW315" s="272"/>
      <c r="AX315" s="272"/>
      <c r="AY315" s="272"/>
      <c r="AZ315" s="272"/>
      <c r="BA315" s="272"/>
      <c r="BB315" s="272"/>
      <c r="BC315" s="272"/>
      <c r="BD315" s="272"/>
      <c r="BE315" s="272"/>
      <c r="BF315" s="272"/>
      <c r="BG315" s="272"/>
      <c r="BH315" s="272"/>
      <c r="BI315" s="272"/>
      <c r="BJ315" s="272"/>
      <c r="BK315" s="272"/>
      <c r="BL315" s="272"/>
      <c r="BM315" s="272"/>
      <c r="BN315" s="272"/>
      <c r="BO315" s="272"/>
      <c r="BP315" s="272"/>
      <c r="BQ315" s="272"/>
      <c r="BR315" s="272"/>
      <c r="BS315" s="272"/>
      <c r="BT315" s="272"/>
      <c r="BU315" s="272"/>
      <c r="BV315" s="272"/>
      <c r="BW315" s="272"/>
      <c r="BX315" s="272"/>
      <c r="BY315" s="272"/>
      <c r="BZ315" s="272"/>
      <c r="CA315" s="272"/>
      <c r="CB315" s="272"/>
      <c r="CC315" s="272"/>
      <c r="CD315" s="272"/>
      <c r="CE315" s="272"/>
      <c r="CF315" s="272"/>
      <c r="CG315" s="272"/>
      <c r="CH315" s="272"/>
      <c r="CI315" s="272"/>
      <c r="CJ315" s="272"/>
      <c r="CK315" s="272"/>
      <c r="CL315" s="272"/>
      <c r="CM315" s="272"/>
      <c r="CN315" s="272"/>
      <c r="CO315" s="272"/>
      <c r="CP315" s="272"/>
      <c r="CQ315" s="272"/>
      <c r="CR315" s="272"/>
      <c r="CS315" s="272"/>
      <c r="CT315" s="272"/>
      <c r="CU315" s="272"/>
      <c r="CV315" s="272"/>
      <c r="CW315" s="272"/>
      <c r="CX315" s="272"/>
      <c r="CY315" s="272"/>
    </row>
    <row r="316" spans="1:103" s="273" customFormat="1" x14ac:dyDescent="0.25">
      <c r="A316" s="271"/>
      <c r="B316" s="216"/>
      <c r="C316" s="216"/>
      <c r="D316" s="216"/>
      <c r="E316" s="216"/>
      <c r="F316" s="216"/>
      <c r="G316" s="216"/>
      <c r="H316" s="216"/>
      <c r="I316" s="216"/>
      <c r="J316" s="274"/>
      <c r="K316" s="216"/>
      <c r="L316" s="208"/>
      <c r="M316" s="272"/>
      <c r="N316" s="208"/>
      <c r="O316" s="272"/>
      <c r="P316" s="272"/>
      <c r="Q316" s="272"/>
      <c r="R316" s="272"/>
      <c r="S316" s="272"/>
      <c r="T316" s="272"/>
      <c r="U316" s="272"/>
      <c r="V316" s="272"/>
      <c r="W316" s="272"/>
      <c r="X316" s="272"/>
      <c r="Y316" s="272"/>
      <c r="Z316" s="272"/>
      <c r="AA316" s="272"/>
      <c r="AB316" s="272"/>
      <c r="AC316" s="272"/>
      <c r="AD316" s="272"/>
      <c r="AE316" s="272"/>
      <c r="AF316" s="272"/>
      <c r="AG316" s="272"/>
      <c r="AH316" s="272"/>
      <c r="AI316" s="272"/>
      <c r="AJ316" s="272"/>
      <c r="AK316" s="272"/>
      <c r="AL316" s="272"/>
      <c r="AM316" s="272"/>
      <c r="AN316" s="272"/>
      <c r="AO316" s="272"/>
      <c r="AP316" s="272"/>
      <c r="AQ316" s="272"/>
      <c r="AR316" s="272"/>
      <c r="AS316" s="272"/>
      <c r="AT316" s="272"/>
      <c r="AU316" s="272"/>
      <c r="AV316" s="272"/>
      <c r="AW316" s="272"/>
      <c r="AX316" s="272"/>
      <c r="AY316" s="272"/>
      <c r="AZ316" s="272"/>
      <c r="BA316" s="272"/>
      <c r="BB316" s="272"/>
      <c r="BC316" s="272"/>
      <c r="BD316" s="272"/>
      <c r="BE316" s="272"/>
      <c r="BF316" s="272"/>
      <c r="BG316" s="272"/>
      <c r="BH316" s="272"/>
      <c r="BI316" s="272"/>
      <c r="BJ316" s="272"/>
      <c r="BK316" s="272"/>
      <c r="BL316" s="272"/>
      <c r="BM316" s="272"/>
      <c r="BN316" s="272"/>
      <c r="BO316" s="272"/>
      <c r="BP316" s="272"/>
      <c r="BQ316" s="272"/>
      <c r="BR316" s="272"/>
      <c r="BS316" s="272"/>
      <c r="BT316" s="272"/>
      <c r="BU316" s="272"/>
      <c r="BV316" s="272"/>
      <c r="BW316" s="272"/>
      <c r="BX316" s="272"/>
      <c r="BY316" s="272"/>
      <c r="BZ316" s="272"/>
      <c r="CA316" s="272"/>
      <c r="CB316" s="272"/>
      <c r="CC316" s="272"/>
      <c r="CD316" s="272"/>
      <c r="CE316" s="272"/>
      <c r="CF316" s="272"/>
      <c r="CG316" s="272"/>
      <c r="CH316" s="272"/>
      <c r="CI316" s="272"/>
      <c r="CJ316" s="272"/>
      <c r="CK316" s="272"/>
      <c r="CL316" s="272"/>
      <c r="CM316" s="272"/>
      <c r="CN316" s="272"/>
      <c r="CO316" s="272"/>
      <c r="CP316" s="272"/>
      <c r="CQ316" s="272"/>
      <c r="CR316" s="272"/>
      <c r="CS316" s="272"/>
      <c r="CT316" s="272"/>
      <c r="CU316" s="272"/>
      <c r="CV316" s="272"/>
      <c r="CW316" s="272"/>
      <c r="CX316" s="272"/>
      <c r="CY316" s="272"/>
    </row>
    <row r="317" spans="1:103" s="273" customFormat="1" x14ac:dyDescent="0.25">
      <c r="A317" s="271"/>
      <c r="B317" s="216"/>
      <c r="C317" s="216"/>
      <c r="D317" s="216"/>
      <c r="E317" s="216"/>
      <c r="F317" s="216"/>
      <c r="G317" s="216"/>
      <c r="H317" s="216"/>
      <c r="I317" s="216"/>
      <c r="J317" s="216"/>
      <c r="K317" s="274"/>
      <c r="L317" s="208"/>
      <c r="M317" s="272"/>
      <c r="N317" s="208"/>
      <c r="O317" s="272"/>
      <c r="P317" s="272"/>
      <c r="Q317" s="272"/>
      <c r="R317" s="272"/>
      <c r="S317" s="272"/>
      <c r="T317" s="272"/>
      <c r="U317" s="272"/>
      <c r="V317" s="272"/>
      <c r="W317" s="272"/>
      <c r="X317" s="272"/>
      <c r="Y317" s="272"/>
      <c r="Z317" s="272"/>
      <c r="AA317" s="272"/>
      <c r="AB317" s="272"/>
      <c r="AC317" s="272"/>
      <c r="AD317" s="272"/>
      <c r="AE317" s="272"/>
      <c r="AF317" s="272"/>
      <c r="AG317" s="272"/>
      <c r="AH317" s="272"/>
      <c r="AI317" s="272"/>
      <c r="AJ317" s="272"/>
      <c r="AK317" s="272"/>
      <c r="AL317" s="272"/>
      <c r="AM317" s="272"/>
      <c r="AN317" s="272"/>
      <c r="AO317" s="272"/>
      <c r="AP317" s="272"/>
      <c r="AQ317" s="272"/>
      <c r="AR317" s="272"/>
      <c r="AS317" s="272"/>
      <c r="AT317" s="272"/>
      <c r="AU317" s="272"/>
      <c r="AV317" s="272"/>
      <c r="AW317" s="272"/>
      <c r="AX317" s="272"/>
      <c r="AY317" s="272"/>
      <c r="AZ317" s="272"/>
      <c r="BA317" s="272"/>
      <c r="BB317" s="272"/>
      <c r="BC317" s="272"/>
      <c r="BD317" s="272"/>
      <c r="BE317" s="272"/>
      <c r="BF317" s="272"/>
      <c r="BG317" s="272"/>
      <c r="BH317" s="272"/>
      <c r="BI317" s="272"/>
      <c r="BJ317" s="272"/>
      <c r="BK317" s="272"/>
      <c r="BL317" s="272"/>
      <c r="BM317" s="272"/>
      <c r="BN317" s="272"/>
      <c r="BO317" s="272"/>
      <c r="BP317" s="272"/>
      <c r="BQ317" s="272"/>
      <c r="BR317" s="272"/>
      <c r="BS317" s="272"/>
      <c r="BT317" s="272"/>
      <c r="BU317" s="272"/>
      <c r="BV317" s="272"/>
      <c r="BW317" s="272"/>
      <c r="BX317" s="272"/>
      <c r="BY317" s="272"/>
      <c r="BZ317" s="272"/>
      <c r="CA317" s="272"/>
      <c r="CB317" s="272"/>
      <c r="CC317" s="272"/>
      <c r="CD317" s="272"/>
      <c r="CE317" s="272"/>
      <c r="CF317" s="272"/>
      <c r="CG317" s="272"/>
      <c r="CH317" s="272"/>
      <c r="CI317" s="272"/>
      <c r="CJ317" s="272"/>
      <c r="CK317" s="272"/>
      <c r="CL317" s="272"/>
      <c r="CM317" s="272"/>
      <c r="CN317" s="272"/>
      <c r="CO317" s="272"/>
      <c r="CP317" s="272"/>
      <c r="CQ317" s="272"/>
      <c r="CR317" s="272"/>
      <c r="CS317" s="272"/>
      <c r="CT317" s="272"/>
      <c r="CU317" s="272"/>
      <c r="CV317" s="272"/>
      <c r="CW317" s="272"/>
      <c r="CX317" s="272"/>
      <c r="CY317" s="272"/>
    </row>
    <row r="318" spans="1:103" s="273" customFormat="1" x14ac:dyDescent="0.25">
      <c r="A318" s="271"/>
      <c r="B318" s="216"/>
      <c r="C318" s="216"/>
      <c r="D318" s="216"/>
      <c r="E318" s="216"/>
      <c r="F318" s="216"/>
      <c r="G318" s="216"/>
      <c r="H318" s="216"/>
      <c r="I318" s="216"/>
      <c r="J318" s="216"/>
      <c r="K318" s="216"/>
      <c r="L318" s="208"/>
      <c r="M318" s="272"/>
      <c r="N318" s="208"/>
      <c r="O318" s="272"/>
      <c r="P318" s="272"/>
      <c r="Q318" s="272"/>
      <c r="R318" s="272"/>
      <c r="S318" s="272"/>
      <c r="T318" s="272"/>
      <c r="U318" s="272"/>
      <c r="V318" s="272"/>
      <c r="W318" s="272"/>
      <c r="X318" s="272"/>
      <c r="Y318" s="272"/>
      <c r="Z318" s="272"/>
      <c r="AA318" s="272"/>
      <c r="AB318" s="272"/>
      <c r="AC318" s="272"/>
      <c r="AD318" s="272"/>
      <c r="AE318" s="272"/>
      <c r="AF318" s="272"/>
      <c r="AG318" s="272"/>
      <c r="AH318" s="272"/>
      <c r="AI318" s="272"/>
      <c r="AJ318" s="272"/>
      <c r="AK318" s="272"/>
      <c r="AL318" s="272"/>
      <c r="AM318" s="272"/>
      <c r="AN318" s="272"/>
      <c r="AO318" s="272"/>
      <c r="AP318" s="272"/>
      <c r="AQ318" s="272"/>
      <c r="AR318" s="272"/>
      <c r="AS318" s="272"/>
      <c r="AT318" s="272"/>
      <c r="AU318" s="272"/>
      <c r="AV318" s="272"/>
      <c r="AW318" s="272"/>
      <c r="AX318" s="272"/>
      <c r="AY318" s="272"/>
      <c r="AZ318" s="272"/>
      <c r="BA318" s="272"/>
      <c r="BB318" s="272"/>
      <c r="BC318" s="272"/>
      <c r="BD318" s="272"/>
      <c r="BE318" s="272"/>
      <c r="BF318" s="272"/>
      <c r="BG318" s="272"/>
      <c r="BH318" s="272"/>
      <c r="BI318" s="272"/>
      <c r="BJ318" s="272"/>
      <c r="BK318" s="272"/>
      <c r="BL318" s="272"/>
      <c r="BM318" s="272"/>
      <c r="BN318" s="272"/>
      <c r="BO318" s="272"/>
      <c r="BP318" s="272"/>
      <c r="BQ318" s="272"/>
      <c r="BR318" s="272"/>
      <c r="BS318" s="272"/>
      <c r="BT318" s="272"/>
      <c r="BU318" s="272"/>
      <c r="BV318" s="272"/>
      <c r="BW318" s="272"/>
      <c r="BX318" s="272"/>
      <c r="BY318" s="272"/>
      <c r="BZ318" s="272"/>
      <c r="CA318" s="272"/>
      <c r="CB318" s="272"/>
      <c r="CC318" s="272"/>
      <c r="CD318" s="272"/>
      <c r="CE318" s="272"/>
      <c r="CF318" s="272"/>
      <c r="CG318" s="272"/>
      <c r="CH318" s="272"/>
      <c r="CI318" s="272"/>
      <c r="CJ318" s="272"/>
      <c r="CK318" s="272"/>
      <c r="CL318" s="272"/>
      <c r="CM318" s="272"/>
      <c r="CN318" s="272"/>
      <c r="CO318" s="272"/>
      <c r="CP318" s="272"/>
      <c r="CQ318" s="272"/>
      <c r="CR318" s="272"/>
      <c r="CS318" s="272"/>
      <c r="CT318" s="272"/>
      <c r="CU318" s="272"/>
      <c r="CV318" s="272"/>
      <c r="CW318" s="272"/>
      <c r="CX318" s="272"/>
      <c r="CY318" s="272"/>
    </row>
  </sheetData>
  <sortState xmlns:xlrd2="http://schemas.microsoft.com/office/spreadsheetml/2017/richdata2" ref="A71:K238">
    <sortCondition ref="A238"/>
  </sortState>
  <mergeCells count="1">
    <mergeCell ref="A7:K7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CW64"/>
  <sheetViews>
    <sheetView tabSelected="1" topLeftCell="B5" zoomScale="80" zoomScaleNormal="80" zoomScaleSheetLayoutView="70" workbookViewId="0">
      <pane xSplit="1" ySplit="3" topLeftCell="C41" activePane="bottomRight" state="frozen"/>
      <selection activeCell="B5" sqref="B5"/>
      <selection pane="topRight" activeCell="C5" sqref="C5"/>
      <selection pane="bottomLeft" activeCell="B8" sqref="B8"/>
      <selection pane="bottomRight" activeCell="B5" sqref="A1:T7"/>
    </sheetView>
  </sheetViews>
  <sheetFormatPr defaultColWidth="9.140625" defaultRowHeight="15.75" x14ac:dyDescent="0.25"/>
  <cols>
    <col min="1" max="1" width="67.140625" style="240" hidden="1" customWidth="1"/>
    <col min="2" max="2" width="62.85546875" style="240" customWidth="1"/>
    <col min="3" max="3" width="27.85546875" style="393" hidden="1" customWidth="1"/>
    <col min="4" max="4" width="36.42578125" style="394" hidden="1" customWidth="1"/>
    <col min="5" max="5" width="17.5703125" style="394" hidden="1" customWidth="1"/>
    <col min="6" max="6" width="17.5703125" style="241" customWidth="1"/>
    <col min="7" max="8" width="17.5703125" style="241" hidden="1" customWidth="1"/>
    <col min="9" max="13" width="17.5703125" style="241" customWidth="1"/>
    <col min="14" max="15" width="9.140625" style="242" customWidth="1"/>
    <col min="16" max="101" width="9.140625" style="242"/>
    <col min="102" max="16384" width="9.140625" style="240"/>
  </cols>
  <sheetData>
    <row r="1" spans="1:13" ht="45" hidden="1" customHeight="1" x14ac:dyDescent="0.25">
      <c r="A1" s="275" t="s">
        <v>485</v>
      </c>
      <c r="B1" s="276" t="s">
        <v>933</v>
      </c>
      <c r="C1" s="277"/>
      <c r="D1" s="278"/>
      <c r="E1" s="278"/>
      <c r="F1" s="279"/>
      <c r="G1" s="279"/>
      <c r="H1" s="279"/>
      <c r="I1" s="279"/>
      <c r="J1" s="279"/>
      <c r="K1" s="279"/>
      <c r="L1" s="280"/>
    </row>
    <row r="2" spans="1:13" hidden="1" x14ac:dyDescent="0.25">
      <c r="A2" s="283" t="s">
        <v>0</v>
      </c>
      <c r="B2" s="284"/>
      <c r="C2" s="285"/>
      <c r="D2" s="286"/>
      <c r="E2" s="286"/>
      <c r="F2" s="287"/>
      <c r="G2" s="287"/>
      <c r="H2" s="287"/>
      <c r="I2" s="287"/>
      <c r="J2" s="287"/>
      <c r="K2" s="287"/>
      <c r="L2" s="288"/>
    </row>
    <row r="3" spans="1:13" hidden="1" x14ac:dyDescent="0.25">
      <c r="A3" s="289"/>
      <c r="B3" s="290"/>
      <c r="C3" s="291"/>
      <c r="D3" s="292"/>
      <c r="E3" s="292"/>
      <c r="F3" s="293"/>
      <c r="G3" s="293"/>
      <c r="H3" s="293"/>
      <c r="I3" s="293"/>
      <c r="J3" s="293"/>
      <c r="K3" s="293"/>
      <c r="L3" s="294"/>
    </row>
    <row r="4" spans="1:13" ht="24.75" hidden="1" customHeight="1" x14ac:dyDescent="0.25">
      <c r="A4" s="919"/>
      <c r="B4" s="920"/>
      <c r="C4" s="295"/>
      <c r="D4" s="296"/>
      <c r="E4" s="296"/>
      <c r="F4" s="297"/>
      <c r="G4" s="297"/>
      <c r="H4" s="297"/>
      <c r="I4" s="297"/>
      <c r="J4" s="297"/>
      <c r="K4" s="297"/>
      <c r="L4" s="280"/>
    </row>
    <row r="5" spans="1:13" ht="24.75" customHeight="1" x14ac:dyDescent="0.25">
      <c r="A5" s="298"/>
      <c r="B5" s="921" t="s">
        <v>1011</v>
      </c>
      <c r="C5" s="921"/>
      <c r="D5" s="921"/>
      <c r="E5" s="921"/>
      <c r="F5" s="921"/>
      <c r="G5" s="921"/>
      <c r="H5" s="921"/>
      <c r="I5" s="921"/>
      <c r="J5" s="921"/>
      <c r="K5" s="921"/>
      <c r="L5" s="921"/>
      <c r="M5" s="921"/>
    </row>
    <row r="6" spans="1:13" ht="24.75" customHeight="1" x14ac:dyDescent="0.25">
      <c r="A6" s="298"/>
      <c r="B6" s="921"/>
      <c r="C6" s="921"/>
      <c r="D6" s="921"/>
      <c r="E6" s="921"/>
      <c r="F6" s="921"/>
      <c r="G6" s="921"/>
      <c r="H6" s="921"/>
      <c r="I6" s="921"/>
      <c r="J6" s="921"/>
      <c r="K6" s="921"/>
      <c r="L6" s="921"/>
      <c r="M6" s="921"/>
    </row>
    <row r="7" spans="1:13" ht="24.75" customHeight="1" thickBot="1" x14ac:dyDescent="0.3">
      <c r="A7" s="298"/>
      <c r="B7" s="921"/>
      <c r="C7" s="921"/>
      <c r="D7" s="921"/>
      <c r="E7" s="921"/>
      <c r="F7" s="921"/>
      <c r="G7" s="921"/>
      <c r="H7" s="921"/>
      <c r="I7" s="921"/>
      <c r="J7" s="921"/>
      <c r="K7" s="921"/>
      <c r="L7" s="921"/>
      <c r="M7" s="921"/>
    </row>
    <row r="8" spans="1:13" ht="71.25" customHeight="1" thickBot="1" x14ac:dyDescent="0.3">
      <c r="A8" s="299"/>
      <c r="B8" s="300"/>
      <c r="C8" s="301" t="s">
        <v>1030</v>
      </c>
      <c r="D8" s="302" t="s">
        <v>306</v>
      </c>
      <c r="E8" s="303" t="s">
        <v>1032</v>
      </c>
      <c r="F8" s="214" t="s">
        <v>1028</v>
      </c>
      <c r="G8" s="214" t="s">
        <v>983</v>
      </c>
      <c r="H8" s="214" t="s">
        <v>1027</v>
      </c>
      <c r="I8" s="214" t="s">
        <v>631</v>
      </c>
      <c r="J8" s="214" t="s">
        <v>1274</v>
      </c>
      <c r="K8" s="304" t="s">
        <v>932</v>
      </c>
      <c r="L8" s="304" t="s">
        <v>996</v>
      </c>
      <c r="M8" s="215" t="s">
        <v>1296</v>
      </c>
    </row>
    <row r="9" spans="1:13" x14ac:dyDescent="0.25">
      <c r="A9" s="305"/>
      <c r="B9" s="306" t="s">
        <v>548</v>
      </c>
      <c r="C9" s="307"/>
      <c r="D9" s="308"/>
      <c r="E9" s="309"/>
      <c r="F9" s="310"/>
      <c r="G9" s="311"/>
      <c r="H9" s="312"/>
      <c r="I9" s="312"/>
      <c r="J9" s="313"/>
      <c r="K9" s="237"/>
      <c r="L9" s="237"/>
      <c r="M9" s="238"/>
    </row>
    <row r="10" spans="1:13" x14ac:dyDescent="0.25">
      <c r="A10" s="314"/>
      <c r="B10" s="306" t="s">
        <v>549</v>
      </c>
      <c r="C10" s="307"/>
      <c r="D10" s="308"/>
      <c r="E10" s="309"/>
      <c r="F10" s="313"/>
      <c r="G10" s="311"/>
      <c r="H10" s="312"/>
      <c r="I10" s="312"/>
      <c r="J10" s="313"/>
      <c r="K10" s="237"/>
      <c r="L10" s="237"/>
      <c r="M10" s="238"/>
    </row>
    <row r="11" spans="1:13" x14ac:dyDescent="0.25">
      <c r="A11" s="315" t="s">
        <v>10</v>
      </c>
      <c r="B11" s="316" t="s">
        <v>11</v>
      </c>
      <c r="C11" s="314"/>
      <c r="D11" s="317"/>
      <c r="E11" s="318"/>
      <c r="F11" s="313">
        <v>1068038</v>
      </c>
      <c r="G11" s="311">
        <v>354642</v>
      </c>
      <c r="H11" s="312">
        <f>SUM(F11-G11)</f>
        <v>713396</v>
      </c>
      <c r="I11" s="312">
        <f>291300+214108</f>
        <v>505408</v>
      </c>
      <c r="J11" s="313">
        <f>F11+I11</f>
        <v>1573446</v>
      </c>
      <c r="K11" s="237">
        <v>3946096</v>
      </c>
      <c r="L11" s="237">
        <f>K11*1.044</f>
        <v>4119724.2239999999</v>
      </c>
      <c r="M11" s="238">
        <f>L11*1.045</f>
        <v>4305111.8140799999</v>
      </c>
    </row>
    <row r="12" spans="1:13" x14ac:dyDescent="0.25">
      <c r="A12" s="319" t="s">
        <v>498</v>
      </c>
      <c r="B12" s="320" t="s">
        <v>448</v>
      </c>
      <c r="C12" s="307"/>
      <c r="D12" s="308"/>
      <c r="E12" s="309"/>
      <c r="F12" s="313">
        <v>0</v>
      </c>
      <c r="G12" s="311">
        <v>4896</v>
      </c>
      <c r="H12" s="312">
        <f t="shared" ref="H12:H20" si="0">SUM(F12-G12)</f>
        <v>-4896</v>
      </c>
      <c r="I12" s="312">
        <v>0</v>
      </c>
      <c r="J12" s="313">
        <f t="shared" ref="J12:J20" si="1">F12+I12</f>
        <v>0</v>
      </c>
      <c r="K12" s="237">
        <v>0</v>
      </c>
      <c r="L12" s="237">
        <f>K12*1.044</f>
        <v>0</v>
      </c>
      <c r="M12" s="238">
        <f>L12*1.045</f>
        <v>0</v>
      </c>
    </row>
    <row r="13" spans="1:13" x14ac:dyDescent="0.25">
      <c r="A13" s="315" t="s">
        <v>24</v>
      </c>
      <c r="B13" s="316" t="s">
        <v>25</v>
      </c>
      <c r="C13" s="314"/>
      <c r="D13" s="317"/>
      <c r="E13" s="318"/>
      <c r="F13" s="313">
        <v>14400</v>
      </c>
      <c r="G13" s="311">
        <v>8000</v>
      </c>
      <c r="H13" s="312">
        <f t="shared" si="0"/>
        <v>6400</v>
      </c>
      <c r="I13" s="312">
        <v>10000</v>
      </c>
      <c r="J13" s="313">
        <f t="shared" si="1"/>
        <v>24400</v>
      </c>
      <c r="K13" s="237">
        <v>84000</v>
      </c>
      <c r="L13" s="237">
        <v>144000</v>
      </c>
      <c r="M13" s="238">
        <v>144000</v>
      </c>
    </row>
    <row r="14" spans="1:13" x14ac:dyDescent="0.25">
      <c r="A14" s="315" t="s">
        <v>26</v>
      </c>
      <c r="B14" s="316" t="s">
        <v>27</v>
      </c>
      <c r="C14" s="314"/>
      <c r="D14" s="317"/>
      <c r="E14" s="318"/>
      <c r="F14" s="313">
        <v>130836</v>
      </c>
      <c r="G14" s="311">
        <v>47368</v>
      </c>
      <c r="H14" s="312">
        <f t="shared" si="0"/>
        <v>83468</v>
      </c>
      <c r="I14" s="312">
        <v>0</v>
      </c>
      <c r="J14" s="313">
        <f t="shared" si="1"/>
        <v>130836</v>
      </c>
      <c r="K14" s="237">
        <v>518052</v>
      </c>
      <c r="L14" s="237">
        <f>K14*1.044</f>
        <v>540846.28800000006</v>
      </c>
      <c r="M14" s="238">
        <f>L14*1.045</f>
        <v>565184.37095999997</v>
      </c>
    </row>
    <row r="15" spans="1:13" x14ac:dyDescent="0.25">
      <c r="A15" s="315" t="s">
        <v>28</v>
      </c>
      <c r="B15" s="316" t="s">
        <v>29</v>
      </c>
      <c r="C15" s="314"/>
      <c r="D15" s="317"/>
      <c r="E15" s="318"/>
      <c r="F15" s="313">
        <v>7200</v>
      </c>
      <c r="G15" s="311">
        <v>2400</v>
      </c>
      <c r="H15" s="312">
        <f t="shared" si="0"/>
        <v>4800</v>
      </c>
      <c r="I15" s="312">
        <v>0</v>
      </c>
      <c r="J15" s="313">
        <f t="shared" si="1"/>
        <v>7200</v>
      </c>
      <c r="K15" s="237">
        <v>0</v>
      </c>
      <c r="L15" s="237">
        <v>0</v>
      </c>
      <c r="M15" s="238">
        <v>0</v>
      </c>
    </row>
    <row r="16" spans="1:13" x14ac:dyDescent="0.25">
      <c r="A16" s="315" t="s">
        <v>30</v>
      </c>
      <c r="B16" s="316" t="s">
        <v>31</v>
      </c>
      <c r="C16" s="314"/>
      <c r="D16" s="317"/>
      <c r="E16" s="318"/>
      <c r="F16" s="313">
        <v>89003</v>
      </c>
      <c r="G16" s="311">
        <v>0</v>
      </c>
      <c r="H16" s="312">
        <f t="shared" si="0"/>
        <v>89003</v>
      </c>
      <c r="I16" s="312">
        <v>-89003</v>
      </c>
      <c r="J16" s="313">
        <f t="shared" si="1"/>
        <v>0</v>
      </c>
      <c r="K16" s="237">
        <v>150811</v>
      </c>
      <c r="L16" s="237">
        <f>K16*1.044</f>
        <v>157446.68400000001</v>
      </c>
      <c r="M16" s="238">
        <f>L16*1.045</f>
        <v>164531.78477999999</v>
      </c>
    </row>
    <row r="17" spans="1:16" x14ac:dyDescent="0.25">
      <c r="A17" s="315"/>
      <c r="B17" s="273" t="s">
        <v>545</v>
      </c>
      <c r="C17" s="321"/>
      <c r="D17" s="322"/>
      <c r="E17" s="323"/>
      <c r="F17" s="313">
        <v>8612</v>
      </c>
      <c r="G17" s="311">
        <v>21278.53</v>
      </c>
      <c r="H17" s="312">
        <f t="shared" si="0"/>
        <v>-12666.529999999999</v>
      </c>
      <c r="I17" s="312">
        <v>12667</v>
      </c>
      <c r="J17" s="313">
        <f t="shared" si="1"/>
        <v>21279</v>
      </c>
      <c r="K17" s="237">
        <v>0</v>
      </c>
      <c r="L17" s="237">
        <v>0</v>
      </c>
      <c r="M17" s="238">
        <v>0</v>
      </c>
    </row>
    <row r="18" spans="1:16" s="242" customFormat="1" x14ac:dyDescent="0.25">
      <c r="A18" s="324" t="s">
        <v>413</v>
      </c>
      <c r="B18" s="232" t="s">
        <v>123</v>
      </c>
      <c r="C18" s="244"/>
      <c r="D18" s="245"/>
      <c r="E18" s="246"/>
      <c r="F18" s="238">
        <v>6198</v>
      </c>
      <c r="G18" s="325">
        <v>226434.3</v>
      </c>
      <c r="H18" s="239">
        <f t="shared" si="0"/>
        <v>-220236.3</v>
      </c>
      <c r="I18" s="239">
        <v>220236</v>
      </c>
      <c r="J18" s="238">
        <f t="shared" si="1"/>
        <v>226434</v>
      </c>
      <c r="K18" s="237">
        <v>0</v>
      </c>
      <c r="L18" s="237">
        <v>0</v>
      </c>
      <c r="M18" s="238">
        <v>0</v>
      </c>
    </row>
    <row r="19" spans="1:16" s="242" customFormat="1" x14ac:dyDescent="0.25">
      <c r="A19" s="243"/>
      <c r="B19" s="232" t="s">
        <v>1297</v>
      </c>
      <c r="C19" s="244"/>
      <c r="D19" s="245"/>
      <c r="E19" s="246"/>
      <c r="F19" s="238">
        <v>0</v>
      </c>
      <c r="G19" s="325"/>
      <c r="H19" s="239"/>
      <c r="I19" s="239"/>
      <c r="J19" s="238">
        <v>0</v>
      </c>
      <c r="K19" s="237">
        <v>91140</v>
      </c>
      <c r="L19" s="237">
        <f>K19*1.044</f>
        <v>95150.16</v>
      </c>
      <c r="M19" s="238">
        <f>L19*1.045</f>
        <v>99431.917199999996</v>
      </c>
    </row>
    <row r="20" spans="1:16" x14ac:dyDescent="0.25">
      <c r="A20" s="243"/>
      <c r="B20" s="232" t="s">
        <v>328</v>
      </c>
      <c r="C20" s="244"/>
      <c r="D20" s="245"/>
      <c r="E20" s="246"/>
      <c r="F20" s="238">
        <v>0</v>
      </c>
      <c r="G20" s="326">
        <v>0</v>
      </c>
      <c r="H20" s="312">
        <f t="shared" si="0"/>
        <v>0</v>
      </c>
      <c r="I20" s="239">
        <v>0</v>
      </c>
      <c r="J20" s="313">
        <f t="shared" si="1"/>
        <v>0</v>
      </c>
      <c r="K20" s="327">
        <v>0</v>
      </c>
      <c r="L20" s="237">
        <v>0</v>
      </c>
      <c r="M20" s="238">
        <v>0</v>
      </c>
    </row>
    <row r="21" spans="1:16" x14ac:dyDescent="0.25">
      <c r="A21" s="315"/>
      <c r="B21" s="306" t="s">
        <v>552</v>
      </c>
      <c r="C21" s="328"/>
      <c r="D21" s="329"/>
      <c r="E21" s="330"/>
      <c r="F21" s="331">
        <f t="shared" ref="F21:M21" si="2">SUM(F11:F20)</f>
        <v>1324287</v>
      </c>
      <c r="G21" s="332">
        <f t="shared" si="2"/>
        <v>665018.83000000007</v>
      </c>
      <c r="H21" s="332">
        <f t="shared" si="2"/>
        <v>659268.16999999993</v>
      </c>
      <c r="I21" s="332">
        <f t="shared" si="2"/>
        <v>659308</v>
      </c>
      <c r="J21" s="332">
        <f t="shared" si="2"/>
        <v>1983595</v>
      </c>
      <c r="K21" s="333">
        <f>SUM(K11:K20)</f>
        <v>4790099</v>
      </c>
      <c r="L21" s="333">
        <f>SUM(L11:L20)</f>
        <v>5057167.3559999997</v>
      </c>
      <c r="M21" s="333">
        <f t="shared" si="2"/>
        <v>5278259.8870200003</v>
      </c>
    </row>
    <row r="22" spans="1:16" x14ac:dyDescent="0.25">
      <c r="A22" s="315"/>
      <c r="B22" s="15"/>
      <c r="C22" s="131"/>
      <c r="D22" s="334"/>
      <c r="E22" s="317"/>
      <c r="F22" s="311"/>
      <c r="G22" s="312"/>
      <c r="H22" s="312"/>
      <c r="I22" s="312"/>
      <c r="J22" s="312"/>
      <c r="K22" s="335"/>
      <c r="L22" s="336"/>
      <c r="M22" s="238"/>
    </row>
    <row r="23" spans="1:16" x14ac:dyDescent="0.25">
      <c r="A23" s="315"/>
      <c r="B23" s="306" t="s">
        <v>553</v>
      </c>
      <c r="C23" s="131"/>
      <c r="D23" s="334"/>
      <c r="E23" s="317"/>
      <c r="F23" s="311"/>
      <c r="G23" s="312"/>
      <c r="H23" s="312"/>
      <c r="I23" s="312"/>
      <c r="J23" s="312"/>
      <c r="K23" s="335"/>
      <c r="L23" s="336"/>
      <c r="M23" s="238"/>
    </row>
    <row r="24" spans="1:16" x14ac:dyDescent="0.25">
      <c r="A24" s="315" t="s">
        <v>12</v>
      </c>
      <c r="B24" s="15" t="s">
        <v>13</v>
      </c>
      <c r="C24" s="305"/>
      <c r="D24" s="337"/>
      <c r="E24" s="338"/>
      <c r="F24" s="339">
        <v>119</v>
      </c>
      <c r="G24" s="340">
        <v>51.1</v>
      </c>
      <c r="H24" s="341">
        <f>SUM(F24-G24)</f>
        <v>67.900000000000006</v>
      </c>
      <c r="I24" s="340">
        <v>0</v>
      </c>
      <c r="J24" s="341">
        <f>SUM(F24+I24)</f>
        <v>119</v>
      </c>
      <c r="K24" s="342">
        <v>832</v>
      </c>
      <c r="L24" s="343">
        <v>1307</v>
      </c>
      <c r="M24" s="344">
        <v>1307</v>
      </c>
    </row>
    <row r="25" spans="1:16" x14ac:dyDescent="0.25">
      <c r="A25" s="315" t="s">
        <v>14</v>
      </c>
      <c r="B25" s="15" t="s">
        <v>15</v>
      </c>
      <c r="C25" s="314"/>
      <c r="D25" s="317"/>
      <c r="E25" s="318"/>
      <c r="F25" s="311">
        <v>59284</v>
      </c>
      <c r="G25" s="312">
        <v>22456</v>
      </c>
      <c r="H25" s="313">
        <f t="shared" ref="H25:H27" si="3">SUM(F25-G25)</f>
        <v>36828</v>
      </c>
      <c r="I25" s="312">
        <v>0</v>
      </c>
      <c r="J25" s="313">
        <f t="shared" ref="J25:J27" si="4">SUM(F25+I25)</f>
        <v>59284</v>
      </c>
      <c r="K25" s="238">
        <v>189016</v>
      </c>
      <c r="L25" s="239">
        <f>K25*1.044</f>
        <v>197332.704</v>
      </c>
      <c r="M25" s="238">
        <f>L25*1.045</f>
        <v>206212.67567999999</v>
      </c>
    </row>
    <row r="26" spans="1:16" x14ac:dyDescent="0.25">
      <c r="A26" s="315" t="s">
        <v>16</v>
      </c>
      <c r="B26" s="15" t="s">
        <v>17</v>
      </c>
      <c r="C26" s="314"/>
      <c r="D26" s="317"/>
      <c r="E26" s="318"/>
      <c r="F26" s="311">
        <v>89881</v>
      </c>
      <c r="G26" s="312">
        <v>29087.91</v>
      </c>
      <c r="H26" s="313">
        <f t="shared" si="3"/>
        <v>60793.09</v>
      </c>
      <c r="I26" s="312">
        <v>0</v>
      </c>
      <c r="J26" s="313">
        <f t="shared" si="4"/>
        <v>89881</v>
      </c>
      <c r="K26" s="238">
        <v>478295</v>
      </c>
      <c r="L26" s="239">
        <f>K26*1.044</f>
        <v>499339.98000000004</v>
      </c>
      <c r="M26" s="238">
        <f t="shared" ref="M26:M27" si="5">L26*1.045</f>
        <v>521810.27909999999</v>
      </c>
    </row>
    <row r="27" spans="1:16" x14ac:dyDescent="0.25">
      <c r="A27" s="315" t="s">
        <v>18</v>
      </c>
      <c r="B27" s="15" t="s">
        <v>19</v>
      </c>
      <c r="C27" s="314"/>
      <c r="D27" s="317"/>
      <c r="E27" s="318"/>
      <c r="F27" s="345">
        <v>3569</v>
      </c>
      <c r="G27" s="346">
        <v>1447.42</v>
      </c>
      <c r="H27" s="347">
        <f t="shared" si="3"/>
        <v>2121.58</v>
      </c>
      <c r="I27" s="346">
        <v>0</v>
      </c>
      <c r="J27" s="347">
        <f t="shared" si="4"/>
        <v>3569</v>
      </c>
      <c r="K27" s="348">
        <v>12492</v>
      </c>
      <c r="L27" s="326">
        <v>19631</v>
      </c>
      <c r="M27" s="238">
        <f t="shared" si="5"/>
        <v>20514.394999999997</v>
      </c>
    </row>
    <row r="28" spans="1:16" x14ac:dyDescent="0.25">
      <c r="A28" s="315"/>
      <c r="B28" s="306" t="s">
        <v>554</v>
      </c>
      <c r="C28" s="328"/>
      <c r="D28" s="329"/>
      <c r="E28" s="330"/>
      <c r="F28" s="332">
        <f t="shared" ref="F28:M28" si="6">SUM(F24:F27)</f>
        <v>152853</v>
      </c>
      <c r="G28" s="332">
        <f t="shared" si="6"/>
        <v>53042.429999999993</v>
      </c>
      <c r="H28" s="332">
        <f t="shared" si="6"/>
        <v>99810.569999999992</v>
      </c>
      <c r="I28" s="332">
        <f t="shared" si="6"/>
        <v>0</v>
      </c>
      <c r="J28" s="332">
        <f t="shared" si="6"/>
        <v>152853</v>
      </c>
      <c r="K28" s="333">
        <f t="shared" si="6"/>
        <v>680635</v>
      </c>
      <c r="L28" s="349">
        <f t="shared" si="6"/>
        <v>717610.68400000001</v>
      </c>
      <c r="M28" s="349">
        <f t="shared" si="6"/>
        <v>749844.34978000005</v>
      </c>
    </row>
    <row r="29" spans="1:16" ht="16.5" thickBot="1" x14ac:dyDescent="0.3">
      <c r="A29" s="315"/>
      <c r="B29" s="306" t="s">
        <v>555</v>
      </c>
      <c r="C29" s="350"/>
      <c r="D29" s="351"/>
      <c r="E29" s="352"/>
      <c r="F29" s="353">
        <f t="shared" ref="F29:M29" si="7">F21+F28</f>
        <v>1477140</v>
      </c>
      <c r="G29" s="353">
        <f t="shared" si="7"/>
        <v>718061.26</v>
      </c>
      <c r="H29" s="353">
        <f t="shared" si="7"/>
        <v>759078.73999999987</v>
      </c>
      <c r="I29" s="353">
        <f t="shared" si="7"/>
        <v>659308</v>
      </c>
      <c r="J29" s="353">
        <f t="shared" si="7"/>
        <v>2136448</v>
      </c>
      <c r="K29" s="354">
        <f>K21+K28</f>
        <v>5470734</v>
      </c>
      <c r="L29" s="355">
        <f t="shared" si="7"/>
        <v>5774778.04</v>
      </c>
      <c r="M29" s="355">
        <f t="shared" si="7"/>
        <v>6028104.2368000001</v>
      </c>
      <c r="N29" s="395"/>
      <c r="O29" s="396">
        <f>+N29/J29</f>
        <v>0</v>
      </c>
      <c r="P29" s="396">
        <f>+K29/K62</f>
        <v>0.74905984861215658</v>
      </c>
    </row>
    <row r="30" spans="1:16" x14ac:dyDescent="0.25">
      <c r="A30" s="315"/>
      <c r="B30" s="15"/>
      <c r="C30" s="131"/>
      <c r="D30" s="334"/>
      <c r="E30" s="317"/>
      <c r="F30" s="311"/>
      <c r="G30" s="312"/>
      <c r="H30" s="312"/>
      <c r="I30" s="312"/>
      <c r="J30" s="312"/>
      <c r="K30" s="239"/>
      <c r="L30" s="336"/>
      <c r="M30" s="238"/>
    </row>
    <row r="31" spans="1:16" hidden="1" x14ac:dyDescent="0.25">
      <c r="A31" s="315"/>
      <c r="B31" s="15"/>
      <c r="C31" s="131"/>
      <c r="D31" s="334"/>
      <c r="E31" s="317"/>
      <c r="F31" s="311"/>
      <c r="G31" s="312"/>
      <c r="H31" s="312"/>
      <c r="I31" s="312"/>
      <c r="J31" s="312"/>
      <c r="K31" s="239"/>
      <c r="L31" s="336"/>
      <c r="M31" s="238"/>
    </row>
    <row r="32" spans="1:16" hidden="1" x14ac:dyDescent="0.25">
      <c r="A32" s="315"/>
      <c r="B32" s="15"/>
      <c r="C32" s="131"/>
      <c r="D32" s="334"/>
      <c r="E32" s="317"/>
      <c r="F32" s="345"/>
      <c r="G32" s="346"/>
      <c r="H32" s="346"/>
      <c r="I32" s="346"/>
      <c r="J32" s="346"/>
      <c r="K32" s="358"/>
      <c r="L32" s="358"/>
      <c r="M32" s="348"/>
    </row>
    <row r="33" spans="1:13" x14ac:dyDescent="0.25">
      <c r="A33" s="315" t="s">
        <v>414</v>
      </c>
      <c r="B33" s="306" t="s">
        <v>559</v>
      </c>
      <c r="C33" s="131"/>
      <c r="D33" s="334"/>
      <c r="E33" s="317"/>
      <c r="F33" s="341"/>
      <c r="G33" s="340"/>
      <c r="H33" s="340"/>
      <c r="I33" s="340"/>
      <c r="J33" s="340"/>
      <c r="K33" s="359">
        <f t="shared" ref="K33:K37" si="8">J33*1.048</f>
        <v>0</v>
      </c>
      <c r="L33" s="344">
        <f t="shared" ref="L33:L37" si="9">K33*1.044</f>
        <v>0</v>
      </c>
      <c r="M33" s="344">
        <f t="shared" ref="M33:M37" si="10">L33*1.045</f>
        <v>0</v>
      </c>
    </row>
    <row r="34" spans="1:13" x14ac:dyDescent="0.25">
      <c r="A34" s="315" t="s">
        <v>415</v>
      </c>
      <c r="B34" s="15" t="s">
        <v>319</v>
      </c>
      <c r="C34" s="305"/>
      <c r="D34" s="337"/>
      <c r="E34" s="338"/>
      <c r="F34" s="341">
        <v>23801.64</v>
      </c>
      <c r="G34" s="340">
        <v>4577.3599999999997</v>
      </c>
      <c r="H34" s="341">
        <f>SUM(F34-G34)</f>
        <v>19224.28</v>
      </c>
      <c r="I34" s="340">
        <v>22146</v>
      </c>
      <c r="J34" s="341">
        <f>F34+I34</f>
        <v>45947.64</v>
      </c>
      <c r="K34" s="344">
        <f t="shared" si="8"/>
        <v>48153.12672</v>
      </c>
      <c r="L34" s="344">
        <f t="shared" si="9"/>
        <v>50271.864295680003</v>
      </c>
      <c r="M34" s="359">
        <f t="shared" si="10"/>
        <v>52534.098188985598</v>
      </c>
    </row>
    <row r="35" spans="1:13" x14ac:dyDescent="0.25">
      <c r="A35" s="315" t="s">
        <v>416</v>
      </c>
      <c r="B35" s="15" t="s">
        <v>321</v>
      </c>
      <c r="C35" s="314"/>
      <c r="D35" s="317"/>
      <c r="E35" s="318"/>
      <c r="F35" s="313">
        <v>3698.07</v>
      </c>
      <c r="G35" s="312">
        <v>299.27</v>
      </c>
      <c r="H35" s="313">
        <f t="shared" ref="H35:H37" si="11">SUM(F35-G35)</f>
        <v>3398.8</v>
      </c>
      <c r="I35" s="312">
        <v>4000</v>
      </c>
      <c r="J35" s="313">
        <f t="shared" ref="J35:J37" si="12">F35+I35</f>
        <v>7698.07</v>
      </c>
      <c r="K35" s="238">
        <f t="shared" si="8"/>
        <v>8067.5773600000002</v>
      </c>
      <c r="L35" s="238">
        <f t="shared" si="9"/>
        <v>8422.5507638400013</v>
      </c>
      <c r="M35" s="325">
        <f t="shared" si="10"/>
        <v>8801.5655482128004</v>
      </c>
    </row>
    <row r="36" spans="1:13" x14ac:dyDescent="0.25">
      <c r="A36" s="315"/>
      <c r="B36" s="360" t="s">
        <v>960</v>
      </c>
      <c r="C36" s="361"/>
      <c r="D36" s="362"/>
      <c r="E36" s="363"/>
      <c r="F36" s="313">
        <v>0</v>
      </c>
      <c r="G36" s="312">
        <v>9952.56</v>
      </c>
      <c r="H36" s="313">
        <f t="shared" si="11"/>
        <v>-9952.56</v>
      </c>
      <c r="I36" s="312">
        <v>9953</v>
      </c>
      <c r="J36" s="313">
        <f t="shared" si="12"/>
        <v>9953</v>
      </c>
      <c r="K36" s="238">
        <f t="shared" si="8"/>
        <v>10430.744000000001</v>
      </c>
      <c r="L36" s="238">
        <f t="shared" si="9"/>
        <v>10889.696736000002</v>
      </c>
      <c r="M36" s="325">
        <f t="shared" si="10"/>
        <v>11379.733089120002</v>
      </c>
    </row>
    <row r="37" spans="1:13" s="242" customFormat="1" x14ac:dyDescent="0.25">
      <c r="A37" s="243"/>
      <c r="B37" s="191" t="s">
        <v>990</v>
      </c>
      <c r="C37" s="364"/>
      <c r="D37" s="365"/>
      <c r="E37" s="366"/>
      <c r="F37" s="348">
        <v>528417.02</v>
      </c>
      <c r="G37" s="358">
        <v>38548.46</v>
      </c>
      <c r="H37" s="348">
        <f t="shared" si="11"/>
        <v>489868.56</v>
      </c>
      <c r="I37" s="358"/>
      <c r="J37" s="348">
        <f t="shared" si="12"/>
        <v>528417.02</v>
      </c>
      <c r="K37" s="348">
        <f t="shared" si="8"/>
        <v>553781.03696000006</v>
      </c>
      <c r="L37" s="348">
        <f t="shared" si="9"/>
        <v>578147.40258624009</v>
      </c>
      <c r="M37" s="326">
        <f t="shared" si="10"/>
        <v>604164.03570262087</v>
      </c>
    </row>
    <row r="38" spans="1:13" x14ac:dyDescent="0.25">
      <c r="A38" s="315"/>
      <c r="B38" s="306" t="s">
        <v>566</v>
      </c>
      <c r="C38" s="328"/>
      <c r="D38" s="329"/>
      <c r="E38" s="330"/>
      <c r="F38" s="367">
        <f t="shared" ref="F38:M38" si="13">SUM(F33:F37)</f>
        <v>555916.73</v>
      </c>
      <c r="G38" s="367">
        <f t="shared" si="13"/>
        <v>53377.649999999994</v>
      </c>
      <c r="H38" s="367">
        <f t="shared" si="13"/>
        <v>502539.08</v>
      </c>
      <c r="I38" s="367">
        <f t="shared" si="13"/>
        <v>36099</v>
      </c>
      <c r="J38" s="367">
        <f t="shared" si="13"/>
        <v>592015.73</v>
      </c>
      <c r="K38" s="368">
        <f t="shared" si="13"/>
        <v>620432.48504000006</v>
      </c>
      <c r="L38" s="369">
        <f t="shared" si="13"/>
        <v>647731.51438176003</v>
      </c>
      <c r="M38" s="369">
        <f t="shared" si="13"/>
        <v>676879.43252893921</v>
      </c>
    </row>
    <row r="39" spans="1:13" x14ac:dyDescent="0.25">
      <c r="A39" s="315"/>
      <c r="B39" s="15"/>
      <c r="C39" s="131"/>
      <c r="D39" s="334"/>
      <c r="E39" s="317"/>
      <c r="F39" s="311"/>
      <c r="G39" s="312"/>
      <c r="H39" s="312"/>
      <c r="I39" s="312"/>
      <c r="J39" s="341"/>
      <c r="K39" s="370"/>
      <c r="L39" s="336"/>
      <c r="M39" s="238"/>
    </row>
    <row r="40" spans="1:13" hidden="1" x14ac:dyDescent="0.25">
      <c r="A40" s="314"/>
      <c r="C40" s="371"/>
      <c r="D40" s="372"/>
      <c r="E40" s="373"/>
      <c r="F40" s="342"/>
      <c r="G40" s="344"/>
      <c r="H40" s="342"/>
      <c r="I40" s="343"/>
      <c r="J40" s="344"/>
      <c r="K40" s="370"/>
      <c r="L40" s="342"/>
      <c r="M40" s="344"/>
    </row>
    <row r="41" spans="1:13" x14ac:dyDescent="0.25">
      <c r="A41" s="314"/>
      <c r="B41" s="306" t="s">
        <v>569</v>
      </c>
      <c r="C41" s="374"/>
      <c r="D41" s="308"/>
      <c r="E41" s="309"/>
      <c r="F41" s="239"/>
      <c r="G41" s="238"/>
      <c r="H41" s="239"/>
      <c r="I41" s="237"/>
      <c r="J41" s="238"/>
      <c r="K41" s="238"/>
      <c r="L41" s="239"/>
      <c r="M41" s="238"/>
    </row>
    <row r="42" spans="1:13" ht="18.75" customHeight="1" x14ac:dyDescent="0.25">
      <c r="A42" s="315" t="s">
        <v>4</v>
      </c>
      <c r="B42" s="15" t="s">
        <v>5</v>
      </c>
      <c r="C42" s="375" t="s">
        <v>313</v>
      </c>
      <c r="D42" s="317" t="s">
        <v>1096</v>
      </c>
      <c r="E42" s="318" t="s">
        <v>1093</v>
      </c>
      <c r="F42" s="239">
        <v>14771</v>
      </c>
      <c r="G42" s="238">
        <v>6149.25</v>
      </c>
      <c r="H42" s="239">
        <f t="shared" ref="H42:H58" si="14">SUM(F42-G42)</f>
        <v>8621.75</v>
      </c>
      <c r="I42" s="238">
        <v>0</v>
      </c>
      <c r="J42" s="237">
        <f>F42+I42</f>
        <v>14771</v>
      </c>
      <c r="K42" s="238">
        <f>K29*1/100</f>
        <v>54707.34</v>
      </c>
      <c r="L42" s="239">
        <f>L29*1/100</f>
        <v>57747.780400000003</v>
      </c>
      <c r="M42" s="238">
        <f>M29*1/100</f>
        <v>60281.042368000002</v>
      </c>
    </row>
    <row r="43" spans="1:13" ht="18.2" customHeight="1" x14ac:dyDescent="0.25">
      <c r="A43" s="315" t="s">
        <v>6</v>
      </c>
      <c r="B43" s="15" t="s">
        <v>998</v>
      </c>
      <c r="C43" s="375" t="s">
        <v>313</v>
      </c>
      <c r="D43" s="317" t="s">
        <v>1205</v>
      </c>
      <c r="E43" s="318" t="s">
        <v>1093</v>
      </c>
      <c r="F43" s="239">
        <v>100000</v>
      </c>
      <c r="G43" s="238">
        <v>0</v>
      </c>
      <c r="H43" s="239">
        <f t="shared" si="14"/>
        <v>100000</v>
      </c>
      <c r="I43" s="238">
        <v>0</v>
      </c>
      <c r="J43" s="238">
        <f t="shared" ref="J43:J58" si="15">F43+I43</f>
        <v>100000</v>
      </c>
      <c r="K43" s="237">
        <v>120000</v>
      </c>
      <c r="L43" s="237">
        <v>100000</v>
      </c>
      <c r="M43" s="238">
        <v>100000</v>
      </c>
    </row>
    <row r="44" spans="1:13" ht="18.95" customHeight="1" x14ac:dyDescent="0.25">
      <c r="A44" s="315" t="s">
        <v>494</v>
      </c>
      <c r="B44" s="15" t="s">
        <v>33</v>
      </c>
      <c r="C44" s="375" t="s">
        <v>455</v>
      </c>
      <c r="D44" s="317" t="s">
        <v>1105</v>
      </c>
      <c r="E44" s="318" t="s">
        <v>1149</v>
      </c>
      <c r="F44" s="239">
        <v>105575</v>
      </c>
      <c r="G44" s="238">
        <v>7105</v>
      </c>
      <c r="H44" s="239">
        <f t="shared" si="14"/>
        <v>98470</v>
      </c>
      <c r="I44" s="238">
        <v>0</v>
      </c>
      <c r="J44" s="238">
        <f t="shared" si="15"/>
        <v>105575</v>
      </c>
      <c r="K44" s="237">
        <f>150000-20000</f>
        <v>130000</v>
      </c>
      <c r="L44" s="237">
        <f t="shared" ref="L44:L51" si="16">K44*1.044</f>
        <v>135720</v>
      </c>
      <c r="M44" s="238">
        <f t="shared" ref="M44:M51" si="17">L44*1.045</f>
        <v>141827.4</v>
      </c>
    </row>
    <row r="45" spans="1:13" s="242" customFormat="1" ht="18.95" customHeight="1" x14ac:dyDescent="0.25">
      <c r="A45" s="243" t="s">
        <v>495</v>
      </c>
      <c r="B45" s="15" t="s">
        <v>918</v>
      </c>
      <c r="C45" s="375" t="s">
        <v>455</v>
      </c>
      <c r="D45" s="317" t="s">
        <v>1106</v>
      </c>
      <c r="E45" s="318" t="s">
        <v>1149</v>
      </c>
      <c r="F45" s="239">
        <v>75038</v>
      </c>
      <c r="G45" s="238">
        <v>0</v>
      </c>
      <c r="H45" s="239">
        <f t="shared" si="14"/>
        <v>75038</v>
      </c>
      <c r="I45" s="238">
        <v>0</v>
      </c>
      <c r="J45" s="238">
        <f t="shared" si="15"/>
        <v>75038</v>
      </c>
      <c r="K45" s="237">
        <v>100000</v>
      </c>
      <c r="L45" s="237">
        <f t="shared" si="16"/>
        <v>104400</v>
      </c>
      <c r="M45" s="238">
        <f t="shared" si="17"/>
        <v>109097.99999999999</v>
      </c>
    </row>
    <row r="46" spans="1:13" ht="18" customHeight="1" x14ac:dyDescent="0.25">
      <c r="A46" s="315" t="s">
        <v>8</v>
      </c>
      <c r="B46" s="15" t="s">
        <v>35</v>
      </c>
      <c r="C46" s="375" t="s">
        <v>455</v>
      </c>
      <c r="D46" s="317" t="s">
        <v>1114</v>
      </c>
      <c r="E46" s="318" t="s">
        <v>1149</v>
      </c>
      <c r="F46" s="239">
        <v>49275</v>
      </c>
      <c r="G46" s="238"/>
      <c r="H46" s="239">
        <f t="shared" si="14"/>
        <v>49275</v>
      </c>
      <c r="I46" s="238">
        <v>0</v>
      </c>
      <c r="J46" s="238">
        <f t="shared" si="15"/>
        <v>49275</v>
      </c>
      <c r="K46" s="237">
        <f>250000-50000</f>
        <v>200000</v>
      </c>
      <c r="L46" s="237">
        <f t="shared" si="16"/>
        <v>208800</v>
      </c>
      <c r="M46" s="238">
        <f t="shared" si="17"/>
        <v>218195.99999999997</v>
      </c>
    </row>
    <row r="47" spans="1:13" ht="18.95" customHeight="1" x14ac:dyDescent="0.25">
      <c r="A47" s="315" t="s">
        <v>417</v>
      </c>
      <c r="B47" s="191" t="s">
        <v>497</v>
      </c>
      <c r="C47" s="376" t="s">
        <v>313</v>
      </c>
      <c r="D47" s="245" t="s">
        <v>1105</v>
      </c>
      <c r="E47" s="246" t="s">
        <v>1149</v>
      </c>
      <c r="F47" s="239">
        <v>0</v>
      </c>
      <c r="G47" s="238">
        <v>18400</v>
      </c>
      <c r="H47" s="239">
        <f t="shared" si="14"/>
        <v>-18400</v>
      </c>
      <c r="I47" s="238">
        <v>18400</v>
      </c>
      <c r="J47" s="238">
        <f t="shared" si="15"/>
        <v>18400</v>
      </c>
      <c r="K47" s="237">
        <f>500000-350000</f>
        <v>150000</v>
      </c>
      <c r="L47" s="237">
        <f t="shared" si="16"/>
        <v>156600</v>
      </c>
      <c r="M47" s="238">
        <f t="shared" si="17"/>
        <v>163647</v>
      </c>
    </row>
    <row r="48" spans="1:13" ht="18.95" customHeight="1" x14ac:dyDescent="0.25">
      <c r="A48" s="315" t="s">
        <v>20</v>
      </c>
      <c r="B48" s="15" t="s">
        <v>496</v>
      </c>
      <c r="C48" s="375" t="s">
        <v>313</v>
      </c>
      <c r="D48" s="317"/>
      <c r="E48" s="318" t="s">
        <v>1149</v>
      </c>
      <c r="F48" s="239">
        <v>0</v>
      </c>
      <c r="G48" s="238"/>
      <c r="H48" s="239">
        <f t="shared" si="14"/>
        <v>0</v>
      </c>
      <c r="I48" s="238">
        <v>0</v>
      </c>
      <c r="J48" s="238">
        <f t="shared" si="15"/>
        <v>0</v>
      </c>
      <c r="K48" s="237">
        <f>250000-200000</f>
        <v>50000</v>
      </c>
      <c r="L48" s="237">
        <f t="shared" si="16"/>
        <v>52200</v>
      </c>
      <c r="M48" s="238">
        <f t="shared" si="17"/>
        <v>54548.999999999993</v>
      </c>
    </row>
    <row r="49" spans="1:14" ht="18.95" customHeight="1" x14ac:dyDescent="0.25">
      <c r="A49" s="315" t="s">
        <v>22</v>
      </c>
      <c r="B49" s="15" t="s">
        <v>9</v>
      </c>
      <c r="C49" s="375" t="s">
        <v>313</v>
      </c>
      <c r="D49" s="317" t="s">
        <v>1114</v>
      </c>
      <c r="E49" s="318" t="s">
        <v>1149</v>
      </c>
      <c r="F49" s="239">
        <v>0</v>
      </c>
      <c r="G49" s="238"/>
      <c r="H49" s="239">
        <f t="shared" si="14"/>
        <v>0</v>
      </c>
      <c r="I49" s="238">
        <v>0</v>
      </c>
      <c r="J49" s="238">
        <f t="shared" si="15"/>
        <v>0</v>
      </c>
      <c r="K49" s="237">
        <f>1250000-1000000</f>
        <v>250000</v>
      </c>
      <c r="L49" s="237">
        <f t="shared" si="16"/>
        <v>261000</v>
      </c>
      <c r="M49" s="238">
        <f t="shared" si="17"/>
        <v>272745</v>
      </c>
    </row>
    <row r="50" spans="1:14" ht="18.95" customHeight="1" x14ac:dyDescent="0.25">
      <c r="A50" s="315"/>
      <c r="B50" s="15" t="s">
        <v>1313</v>
      </c>
      <c r="C50" s="375"/>
      <c r="D50" s="317"/>
      <c r="E50" s="318"/>
      <c r="F50" s="239"/>
      <c r="G50" s="238"/>
      <c r="H50" s="239"/>
      <c r="I50" s="238"/>
      <c r="J50" s="238"/>
      <c r="K50" s="237">
        <v>2000</v>
      </c>
      <c r="L50" s="237">
        <v>2000</v>
      </c>
      <c r="M50" s="238">
        <v>2000</v>
      </c>
    </row>
    <row r="51" spans="1:14" ht="18.95" customHeight="1" x14ac:dyDescent="0.25">
      <c r="A51" s="315" t="s">
        <v>418</v>
      </c>
      <c r="B51" s="15" t="s">
        <v>21</v>
      </c>
      <c r="C51" s="375" t="s">
        <v>313</v>
      </c>
      <c r="D51" s="317" t="s">
        <v>1101</v>
      </c>
      <c r="E51" s="318" t="s">
        <v>1093</v>
      </c>
      <c r="F51" s="239">
        <v>86163</v>
      </c>
      <c r="G51" s="238">
        <v>0</v>
      </c>
      <c r="H51" s="239">
        <f t="shared" si="14"/>
        <v>86163</v>
      </c>
      <c r="I51" s="238">
        <v>0</v>
      </c>
      <c r="J51" s="238">
        <f t="shared" si="15"/>
        <v>86163</v>
      </c>
      <c r="K51" s="237">
        <f>J51*1.048</f>
        <v>90298.824000000008</v>
      </c>
      <c r="L51" s="237">
        <f t="shared" si="16"/>
        <v>94271.972256000008</v>
      </c>
      <c r="M51" s="238">
        <f t="shared" si="17"/>
        <v>98514.211007520003</v>
      </c>
    </row>
    <row r="52" spans="1:14" ht="31.5" hidden="1" x14ac:dyDescent="0.25">
      <c r="A52" s="315" t="s">
        <v>419</v>
      </c>
      <c r="B52" s="15" t="s">
        <v>339</v>
      </c>
      <c r="C52" s="375" t="s">
        <v>313</v>
      </c>
      <c r="D52" s="317"/>
      <c r="E52" s="318" t="s">
        <v>1093</v>
      </c>
      <c r="F52" s="239">
        <v>0</v>
      </c>
      <c r="G52" s="238">
        <v>0</v>
      </c>
      <c r="H52" s="239">
        <f t="shared" si="14"/>
        <v>0</v>
      </c>
      <c r="I52" s="238">
        <v>0</v>
      </c>
      <c r="J52" s="238">
        <f t="shared" si="15"/>
        <v>0</v>
      </c>
      <c r="K52" s="237">
        <v>0</v>
      </c>
      <c r="L52" s="237">
        <v>0</v>
      </c>
      <c r="M52" s="238">
        <v>0</v>
      </c>
    </row>
    <row r="53" spans="1:14" ht="18.75" customHeight="1" x14ac:dyDescent="0.25">
      <c r="A53" s="315" t="s">
        <v>420</v>
      </c>
      <c r="B53" s="15" t="s">
        <v>381</v>
      </c>
      <c r="C53" s="375" t="s">
        <v>313</v>
      </c>
      <c r="D53" s="317" t="s">
        <v>1135</v>
      </c>
      <c r="E53" s="318" t="s">
        <v>1093</v>
      </c>
      <c r="F53" s="239">
        <v>2598</v>
      </c>
      <c r="G53" s="238">
        <v>0</v>
      </c>
      <c r="H53" s="239">
        <f t="shared" si="14"/>
        <v>2598</v>
      </c>
      <c r="I53" s="238">
        <v>0</v>
      </c>
      <c r="J53" s="238">
        <f t="shared" si="15"/>
        <v>2598</v>
      </c>
      <c r="K53" s="237">
        <f>J53*1.048</f>
        <v>2722.7040000000002</v>
      </c>
      <c r="L53" s="237">
        <f>K53*1.044</f>
        <v>2842.5029760000002</v>
      </c>
      <c r="M53" s="238">
        <f>L53*1.045</f>
        <v>2970.41560992</v>
      </c>
    </row>
    <row r="54" spans="1:14" ht="18.95" customHeight="1" x14ac:dyDescent="0.25">
      <c r="A54" s="315" t="s">
        <v>421</v>
      </c>
      <c r="B54" s="15" t="s">
        <v>23</v>
      </c>
      <c r="C54" s="375" t="s">
        <v>313</v>
      </c>
      <c r="D54" s="317" t="s">
        <v>1088</v>
      </c>
      <c r="E54" s="318" t="s">
        <v>1093</v>
      </c>
      <c r="F54" s="239">
        <v>3423</v>
      </c>
      <c r="G54" s="238">
        <v>0</v>
      </c>
      <c r="H54" s="239">
        <f t="shared" si="14"/>
        <v>3423</v>
      </c>
      <c r="I54" s="238">
        <v>0</v>
      </c>
      <c r="J54" s="238">
        <f t="shared" si="15"/>
        <v>3423</v>
      </c>
      <c r="K54" s="237">
        <f>J54*1.048</f>
        <v>3587.3040000000001</v>
      </c>
      <c r="L54" s="237">
        <f>K54*1.044</f>
        <v>3745.1453760000004</v>
      </c>
      <c r="M54" s="238">
        <f>L54*1.045</f>
        <v>3913.6769179200001</v>
      </c>
    </row>
    <row r="55" spans="1:14" ht="51" hidden="1" customHeight="1" x14ac:dyDescent="0.25">
      <c r="A55" s="315"/>
      <c r="B55" s="240" t="s">
        <v>50</v>
      </c>
      <c r="C55" s="374" t="s">
        <v>313</v>
      </c>
      <c r="D55" s="308" t="s">
        <v>1134</v>
      </c>
      <c r="E55" s="318" t="s">
        <v>1093</v>
      </c>
      <c r="F55" s="239">
        <v>0</v>
      </c>
      <c r="G55" s="238"/>
      <c r="H55" s="239">
        <f t="shared" si="14"/>
        <v>0</v>
      </c>
      <c r="I55" s="238">
        <v>0</v>
      </c>
      <c r="J55" s="238">
        <f t="shared" si="15"/>
        <v>0</v>
      </c>
      <c r="K55" s="237">
        <v>0</v>
      </c>
      <c r="L55" s="237">
        <v>0</v>
      </c>
      <c r="M55" s="238">
        <v>0</v>
      </c>
    </row>
    <row r="56" spans="1:14" ht="18.75" customHeight="1" x14ac:dyDescent="0.25">
      <c r="A56" s="315"/>
      <c r="B56" s="240" t="s">
        <v>219</v>
      </c>
      <c r="C56" s="374" t="s">
        <v>313</v>
      </c>
      <c r="D56" s="308" t="s">
        <v>1111</v>
      </c>
      <c r="E56" s="318" t="s">
        <v>1093</v>
      </c>
      <c r="F56" s="239">
        <v>0</v>
      </c>
      <c r="G56" s="238"/>
      <c r="H56" s="239">
        <f t="shared" si="14"/>
        <v>0</v>
      </c>
      <c r="I56" s="238">
        <v>0</v>
      </c>
      <c r="J56" s="238">
        <f t="shared" si="15"/>
        <v>0</v>
      </c>
      <c r="K56" s="237">
        <f>50000-20000</f>
        <v>30000</v>
      </c>
      <c r="L56" s="237">
        <v>0</v>
      </c>
      <c r="M56" s="238">
        <v>0</v>
      </c>
    </row>
    <row r="57" spans="1:14" ht="18.95" customHeight="1" x14ac:dyDescent="0.25">
      <c r="A57" s="315" t="s">
        <v>32</v>
      </c>
      <c r="B57" s="15" t="s">
        <v>62</v>
      </c>
      <c r="C57" s="375" t="s">
        <v>313</v>
      </c>
      <c r="D57" s="377"/>
      <c r="E57" s="377" t="s">
        <v>1093</v>
      </c>
      <c r="F57" s="325">
        <v>0</v>
      </c>
      <c r="G57" s="325"/>
      <c r="H57" s="239">
        <f t="shared" si="14"/>
        <v>0</v>
      </c>
      <c r="I57" s="238">
        <v>0</v>
      </c>
      <c r="J57" s="325">
        <f t="shared" si="15"/>
        <v>0</v>
      </c>
      <c r="K57" s="239">
        <v>25000</v>
      </c>
      <c r="L57" s="237">
        <f>K57*1.044</f>
        <v>26100</v>
      </c>
      <c r="M57" s="238">
        <f>L57*1.045</f>
        <v>27274.499999999996</v>
      </c>
    </row>
    <row r="58" spans="1:14" ht="18.95" customHeight="1" thickBot="1" x14ac:dyDescent="0.3">
      <c r="A58" s="315" t="s">
        <v>34</v>
      </c>
      <c r="B58" s="15" t="s">
        <v>7</v>
      </c>
      <c r="C58" s="375" t="s">
        <v>313</v>
      </c>
      <c r="D58" s="377" t="s">
        <v>1076</v>
      </c>
      <c r="E58" s="377" t="s">
        <v>1093</v>
      </c>
      <c r="F58" s="325">
        <v>3802</v>
      </c>
      <c r="G58" s="239">
        <v>0</v>
      </c>
      <c r="H58" s="239">
        <f t="shared" si="14"/>
        <v>3802</v>
      </c>
      <c r="I58" s="325">
        <v>0</v>
      </c>
      <c r="J58" s="325">
        <f t="shared" si="15"/>
        <v>3802</v>
      </c>
      <c r="K58" s="325">
        <f>J58*1.048</f>
        <v>3984.4960000000001</v>
      </c>
      <c r="L58" s="325">
        <f>K58*1.044</f>
        <v>4159.8138239999998</v>
      </c>
      <c r="M58" s="325">
        <f>L58*1.045</f>
        <v>4347.0054460799993</v>
      </c>
      <c r="N58" s="397"/>
    </row>
    <row r="59" spans="1:14" ht="16.5" thickBot="1" x14ac:dyDescent="0.3">
      <c r="A59" s="314"/>
      <c r="B59" s="306" t="s">
        <v>585</v>
      </c>
      <c r="C59" s="378"/>
      <c r="D59" s="379"/>
      <c r="E59" s="379"/>
      <c r="F59" s="380">
        <f t="shared" ref="F59:M59" si="18">SUM(F40:F58)</f>
        <v>440645</v>
      </c>
      <c r="G59" s="381">
        <f t="shared" si="18"/>
        <v>31654.25</v>
      </c>
      <c r="H59" s="381">
        <f t="shared" si="18"/>
        <v>408990.75</v>
      </c>
      <c r="I59" s="381">
        <f t="shared" si="18"/>
        <v>18400</v>
      </c>
      <c r="J59" s="381">
        <f t="shared" si="18"/>
        <v>459045</v>
      </c>
      <c r="K59" s="382">
        <f t="shared" si="18"/>
        <v>1212300.6679999998</v>
      </c>
      <c r="L59" s="382">
        <f t="shared" si="18"/>
        <v>1209587.2148320002</v>
      </c>
      <c r="M59" s="383">
        <f t="shared" si="18"/>
        <v>1259363.2513494396</v>
      </c>
      <c r="N59" s="397"/>
    </row>
    <row r="60" spans="1:14" x14ac:dyDescent="0.25">
      <c r="A60" s="314"/>
      <c r="C60" s="374"/>
      <c r="D60" s="384"/>
      <c r="E60" s="384"/>
      <c r="F60" s="311"/>
      <c r="G60" s="312"/>
      <c r="H60" s="312"/>
      <c r="I60" s="311"/>
      <c r="J60" s="311"/>
      <c r="K60" s="325"/>
      <c r="L60" s="325"/>
      <c r="M60" s="325"/>
      <c r="N60" s="397"/>
    </row>
    <row r="61" spans="1:14" hidden="1" x14ac:dyDescent="0.25">
      <c r="A61" s="385"/>
      <c r="B61" s="320"/>
      <c r="C61" s="386"/>
      <c r="D61" s="387"/>
      <c r="E61" s="387"/>
      <c r="F61" s="345"/>
      <c r="G61" s="346"/>
      <c r="H61" s="346"/>
      <c r="I61" s="345"/>
      <c r="J61" s="345"/>
      <c r="K61" s="326"/>
      <c r="L61" s="326"/>
      <c r="M61" s="326"/>
      <c r="N61" s="397"/>
    </row>
    <row r="62" spans="1:14" x14ac:dyDescent="0.25">
      <c r="A62" s="388"/>
      <c r="B62" s="306" t="s">
        <v>586</v>
      </c>
      <c r="C62" s="389"/>
      <c r="D62" s="390"/>
      <c r="E62" s="390"/>
      <c r="F62" s="391">
        <f>F29+F38+F59</f>
        <v>2473701.73</v>
      </c>
      <c r="G62" s="391">
        <f>G29+G38+G59</f>
        <v>803093.16</v>
      </c>
      <c r="H62" s="391">
        <f>H29+H38+H59</f>
        <v>1670608.5699999998</v>
      </c>
      <c r="I62" s="391">
        <f>I29+I38+I59</f>
        <v>713807</v>
      </c>
      <c r="J62" s="391">
        <f>J29+J38+J59</f>
        <v>3187508.73</v>
      </c>
      <c r="K62" s="392">
        <f t="shared" ref="K62:M62" si="19">K29+K38+K59</f>
        <v>7303467.1530399993</v>
      </c>
      <c r="L62" s="392">
        <f t="shared" si="19"/>
        <v>7632096.7692137603</v>
      </c>
      <c r="M62" s="392">
        <f t="shared" si="19"/>
        <v>7964346.920678379</v>
      </c>
      <c r="N62" s="397"/>
    </row>
    <row r="63" spans="1:14" x14ac:dyDescent="0.25">
      <c r="B63" s="320"/>
      <c r="C63" s="378"/>
      <c r="D63" s="379"/>
      <c r="E63" s="379"/>
      <c r="F63" s="312"/>
      <c r="G63" s="312"/>
      <c r="H63" s="312"/>
      <c r="I63" s="312"/>
      <c r="J63" s="312"/>
      <c r="K63" s="312"/>
      <c r="L63" s="312"/>
      <c r="M63" s="312"/>
      <c r="N63" s="397"/>
    </row>
    <row r="64" spans="1:14" x14ac:dyDescent="0.25">
      <c r="C64" s="378"/>
      <c r="D64" s="379"/>
      <c r="E64" s="379"/>
      <c r="F64" s="312"/>
      <c r="G64" s="312"/>
      <c r="H64" s="312"/>
      <c r="I64" s="312"/>
      <c r="J64" s="312"/>
      <c r="K64" s="312"/>
      <c r="L64" s="312"/>
      <c r="M64" s="312"/>
      <c r="N64" s="397"/>
    </row>
  </sheetData>
  <autoFilter ref="A40:B61" xr:uid="{207788FA-581F-44A7-9BDA-009736F0E02B}"/>
  <sortState xmlns:xlrd2="http://schemas.microsoft.com/office/spreadsheetml/2017/richdata2" ref="B43:M58">
    <sortCondition ref="B42:B58"/>
  </sortState>
  <mergeCells count="2">
    <mergeCell ref="A4:B4"/>
    <mergeCell ref="B5:M7"/>
  </mergeCells>
  <phoneticPr fontId="48" type="noConversion"/>
  <pageMargins left="0.7" right="0.7" top="0.7" bottom="0.7" header="0.3" footer="0.3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D77E0E2EB8D479A70F39CC294D1AC" ma:contentTypeVersion="2" ma:contentTypeDescription="Create a new document." ma:contentTypeScope="" ma:versionID="822bf4f957ff3d581434276a115fd9f5">
  <xsd:schema xmlns:xsd="http://www.w3.org/2001/XMLSchema" xmlns:xs="http://www.w3.org/2001/XMLSchema" xmlns:p="http://schemas.microsoft.com/office/2006/metadata/properties" xmlns:ns3="f6ae4038-e136-46a6-a422-adbf44f3ec2b" targetNamespace="http://schemas.microsoft.com/office/2006/metadata/properties" ma:root="true" ma:fieldsID="73183758406214b0be1bffcec1b39ba9" ns3:_="">
    <xsd:import namespace="f6ae4038-e136-46a6-a422-adbf44f3ec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4038-e136-46a6-a422-adbf44f3ec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F21E05-9E2B-4717-B161-EFF7B6847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e4038-e136-46a6-a422-adbf44f3ec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9E2090-8261-405C-B13B-B35F45FDE7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9F64BF-45BF-4F3D-BF41-9FBC28AE86F5}">
  <ds:schemaRefs>
    <ds:schemaRef ds:uri="http://schemas.microsoft.com/office/2006/documentManagement/types"/>
    <ds:schemaRef ds:uri="http://www.w3.org/XML/1998/namespace"/>
    <ds:schemaRef ds:uri="f6ae4038-e136-46a6-a422-adbf44f3ec2b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32" baseType="lpstr">
      <vt:lpstr>SALARIES 2017</vt:lpstr>
      <vt:lpstr>Contracted Services</vt:lpstr>
      <vt:lpstr>REVENUE</vt:lpstr>
      <vt:lpstr>Sheet4</vt:lpstr>
      <vt:lpstr>Chart Wkg</vt:lpstr>
      <vt:lpstr>Budgeted Inputs</vt:lpstr>
      <vt:lpstr>Analysis Sheet</vt:lpstr>
      <vt:lpstr>Departmental Summary (3)</vt:lpstr>
      <vt:lpstr>Speaker</vt:lpstr>
      <vt:lpstr>Chief Whip</vt:lpstr>
      <vt:lpstr>MAYCO &amp; COUNCIL</vt:lpstr>
      <vt:lpstr>Executive Mayor</vt:lpstr>
      <vt:lpstr>Office of the MM</vt:lpstr>
      <vt:lpstr>IDP</vt:lpstr>
      <vt:lpstr>Finance</vt:lpstr>
      <vt:lpstr>LED</vt:lpstr>
      <vt:lpstr>Community Services</vt:lpstr>
      <vt:lpstr>Corporate Services</vt:lpstr>
      <vt:lpstr>Agriculture</vt:lpstr>
      <vt:lpstr>Infrastructure</vt:lpstr>
      <vt:lpstr>Sheet5</vt:lpstr>
      <vt:lpstr>Chart2</vt:lpstr>
      <vt:lpstr>Agriculture!Print_Area</vt:lpstr>
      <vt:lpstr>'Chief Whip'!Print_Area</vt:lpstr>
      <vt:lpstr>'Community Services'!Print_Area</vt:lpstr>
      <vt:lpstr>'Departmental Summary (3)'!Print_Area</vt:lpstr>
      <vt:lpstr>IDP!Print_Area</vt:lpstr>
      <vt:lpstr>Infrastructure!Print_Area</vt:lpstr>
      <vt:lpstr>LED!Print_Area</vt:lpstr>
      <vt:lpstr>'Office of the MM'!Print_Area</vt:lpstr>
      <vt:lpstr>REVENUE!Print_Area</vt:lpstr>
      <vt:lpstr>Speaker!Print_Area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2019-01-14T09:34:20Z</dcterms:created>
  <dcterms:modified xsi:type="dcterms:W3CDTF">2022-07-01T11:18:39Z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0x010100382D77E0E2EB8D479A70F39CC294D1AC</vt:lpwstr>
  </property>
</Properties>
</file>